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7400" windowHeight="7740" activeTab="1"/>
  </bookViews>
  <sheets>
    <sheet name="Portfolio Summary" sheetId="3" r:id="rId1"/>
    <sheet name="Investment Detail" sheetId="1" r:id="rId2"/>
    <sheet name="Investment List" sheetId="8" r:id="rId3"/>
    <sheet name="Benchmarks" sheetId="4" r:id="rId4"/>
    <sheet name="Price Data" sheetId="9" r:id="rId5"/>
  </sheets>
  <calcPr calcId="144525"/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C18" i="1" l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D8" i="3" l="1"/>
  <c r="D7" i="3"/>
  <c r="D6" i="3"/>
  <c r="D5" i="3"/>
  <c r="D4" i="3"/>
  <c r="C7" i="3" l="1"/>
  <c r="C6" i="3"/>
  <c r="C5" i="3"/>
  <c r="C4" i="3"/>
  <c r="C8" i="3"/>
  <c r="B8" i="3"/>
  <c r="B7" i="3"/>
  <c r="B6" i="3"/>
  <c r="B5" i="3"/>
  <c r="B4" i="3"/>
  <c r="R18" i="1" l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9" i="1" l="1"/>
  <c r="K18" i="1" l="1"/>
  <c r="S18" i="1" s="1"/>
  <c r="K17" i="1"/>
  <c r="S17" i="1" s="1"/>
  <c r="K16" i="1"/>
  <c r="S16" i="1" s="1"/>
  <c r="K15" i="1"/>
  <c r="S15" i="1" s="1"/>
  <c r="K14" i="1"/>
  <c r="K13" i="1"/>
  <c r="S13" i="1" s="1"/>
  <c r="K12" i="1"/>
  <c r="S12" i="1" s="1"/>
  <c r="K11" i="1"/>
  <c r="S11" i="1" s="1"/>
  <c r="K10" i="1"/>
  <c r="S10" i="1" s="1"/>
  <c r="K9" i="1"/>
  <c r="K8" i="1"/>
  <c r="K7" i="1"/>
  <c r="S7" i="1" s="1"/>
  <c r="K6" i="1"/>
  <c r="S6" i="1" s="1"/>
  <c r="K5" i="1"/>
  <c r="S5" i="1" s="1"/>
  <c r="K4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4" i="1"/>
  <c r="G19" i="1"/>
  <c r="E19" i="1"/>
  <c r="T5" i="1" l="1"/>
  <c r="V5" i="1" s="1"/>
  <c r="W5" i="1" s="1"/>
  <c r="X5" i="1" s="1"/>
  <c r="T6" i="1"/>
  <c r="V6" i="1" s="1"/>
  <c r="W6" i="1" s="1"/>
  <c r="X6" i="1" s="1"/>
  <c r="T7" i="1"/>
  <c r="V7" i="1" s="1"/>
  <c r="W7" i="1" s="1"/>
  <c r="X7" i="1" s="1"/>
  <c r="E6" i="3"/>
  <c r="F6" i="3" s="1"/>
  <c r="S8" i="1"/>
  <c r="E5" i="3"/>
  <c r="F5" i="3" s="1"/>
  <c r="S9" i="1"/>
  <c r="T10" i="1"/>
  <c r="V10" i="1" s="1"/>
  <c r="W10" i="1" s="1"/>
  <c r="X10" i="1" s="1"/>
  <c r="T11" i="1"/>
  <c r="V11" i="1" s="1"/>
  <c r="W11" i="1" s="1"/>
  <c r="X11" i="1" s="1"/>
  <c r="T12" i="1"/>
  <c r="V12" i="1" s="1"/>
  <c r="W12" i="1" s="1"/>
  <c r="X12" i="1" s="1"/>
  <c r="T13" i="1"/>
  <c r="V13" i="1" s="1"/>
  <c r="W13" i="1" s="1"/>
  <c r="X13" i="1" s="1"/>
  <c r="E7" i="3"/>
  <c r="F7" i="3" s="1"/>
  <c r="S14" i="1"/>
  <c r="T15" i="1"/>
  <c r="V15" i="1" s="1"/>
  <c r="W15" i="1" s="1"/>
  <c r="X15" i="1" s="1"/>
  <c r="T16" i="1"/>
  <c r="V16" i="1" s="1"/>
  <c r="W16" i="1" s="1"/>
  <c r="X16" i="1" s="1"/>
  <c r="T17" i="1"/>
  <c r="V17" i="1" s="1"/>
  <c r="W17" i="1" s="1"/>
  <c r="X17" i="1" s="1"/>
  <c r="T18" i="1"/>
  <c r="V18" i="1" s="1"/>
  <c r="W18" i="1" s="1"/>
  <c r="X18" i="1" s="1"/>
  <c r="E4" i="3"/>
  <c r="S4" i="1"/>
  <c r="K19" i="1"/>
  <c r="G8" i="1"/>
  <c r="T14" i="1" l="1"/>
  <c r="V14" i="1" s="1"/>
  <c r="W14" i="1" s="1"/>
  <c r="T9" i="1"/>
  <c r="V9" i="1" s="1"/>
  <c r="W9" i="1" s="1"/>
  <c r="T8" i="1"/>
  <c r="V8" i="1" s="1"/>
  <c r="W8" i="1" s="1"/>
  <c r="S19" i="1"/>
  <c r="T19" i="1" s="1"/>
  <c r="V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 s="1"/>
  <c r="L12" i="1"/>
  <c r="N12" i="1" s="1"/>
  <c r="L11" i="1"/>
  <c r="N11" i="1" s="1"/>
  <c r="L10" i="1"/>
  <c r="N10" i="1" s="1"/>
  <c r="L9" i="1"/>
  <c r="N9" i="1" s="1"/>
  <c r="L8" i="1"/>
  <c r="N8" i="1" s="1"/>
  <c r="L7" i="1"/>
  <c r="N7" i="1" s="1"/>
  <c r="L6" i="1"/>
  <c r="N6" i="1" s="1"/>
  <c r="L5" i="1"/>
  <c r="N5" i="1" s="1"/>
  <c r="L4" i="1"/>
  <c r="N4" i="1" s="1"/>
  <c r="T4" i="1"/>
  <c r="V4" i="1" s="1"/>
  <c r="W4" i="1" s="1"/>
  <c r="F4" i="3"/>
  <c r="E8" i="3"/>
  <c r="F8" i="3" s="1"/>
  <c r="G18" i="1"/>
  <c r="G17" i="1"/>
  <c r="G16" i="1"/>
  <c r="G15" i="1"/>
  <c r="G14" i="1"/>
  <c r="G13" i="1"/>
  <c r="G12" i="1"/>
  <c r="G11" i="1"/>
  <c r="G10" i="1"/>
  <c r="G9" i="1"/>
  <c r="G7" i="1"/>
  <c r="G6" i="1"/>
  <c r="G5" i="1"/>
  <c r="E13" i="3" l="1"/>
  <c r="D13" i="3"/>
  <c r="C13" i="3"/>
  <c r="F13" i="3" s="1"/>
  <c r="B13" i="3"/>
  <c r="X8" i="1"/>
  <c r="E12" i="3"/>
  <c r="D12" i="3"/>
  <c r="C12" i="3"/>
  <c r="F12" i="3" s="1"/>
  <c r="B12" i="3"/>
  <c r="X9" i="1"/>
  <c r="E14" i="3"/>
  <c r="D14" i="3"/>
  <c r="C14" i="3"/>
  <c r="F14" i="3" s="1"/>
  <c r="B14" i="3"/>
  <c r="X14" i="1"/>
  <c r="E11" i="3"/>
  <c r="D11" i="3"/>
  <c r="D15" i="3" s="1"/>
  <c r="C15" i="3"/>
  <c r="C11" i="3"/>
  <c r="B11" i="3"/>
  <c r="B15" i="3" s="1"/>
  <c r="X4" i="1"/>
  <c r="O4" i="1"/>
  <c r="P4" i="1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F11" i="3" l="1"/>
  <c r="E15" i="3"/>
  <c r="F15" i="3" s="1"/>
</calcChain>
</file>

<file path=xl/sharedStrings.xml><?xml version="1.0" encoding="utf-8"?>
<sst xmlns="http://schemas.openxmlformats.org/spreadsheetml/2006/main" count="174" uniqueCount="100">
  <si>
    <t>Investment Type</t>
  </si>
  <si>
    <t>Symbol</t>
  </si>
  <si>
    <t>Description</t>
  </si>
  <si>
    <t>Risk Level</t>
  </si>
  <si>
    <t>Shares Purchased</t>
  </si>
  <si>
    <t>Cost of Purchase</t>
  </si>
  <si>
    <t>Current Price</t>
  </si>
  <si>
    <t>Personal Investment Portfolio</t>
  </si>
  <si>
    <t>Current Value</t>
  </si>
  <si>
    <t>Unrealized Gain/Loss</t>
  </si>
  <si>
    <t>Current Percent of Portfolio</t>
  </si>
  <si>
    <t>Target Percent of Portfolio</t>
  </si>
  <si>
    <t>Rebalance Indicator</t>
  </si>
  <si>
    <t>Performance Indicator</t>
  </si>
  <si>
    <t>Long/Short Indicator</t>
  </si>
  <si>
    <t>Number of Investments</t>
  </si>
  <si>
    <t>Total Purchase Cost</t>
  </si>
  <si>
    <t>Total Summary</t>
  </si>
  <si>
    <t>TOTAL</t>
  </si>
  <si>
    <t>Personal Investment Summary</t>
  </si>
  <si>
    <t>VUSTX</t>
  </si>
  <si>
    <t>VFSTX</t>
  </si>
  <si>
    <t>VWEHX</t>
  </si>
  <si>
    <t>VFICX</t>
  </si>
  <si>
    <t>VEIPX</t>
  </si>
  <si>
    <t>VIMSX</t>
  </si>
  <si>
    <t>VEIEX</t>
  </si>
  <si>
    <t>Emerging Markets</t>
  </si>
  <si>
    <t>MSFT</t>
  </si>
  <si>
    <t>AAPL</t>
  </si>
  <si>
    <t>IBM</t>
  </si>
  <si>
    <t>GOOG</t>
  </si>
  <si>
    <t>JNJ</t>
  </si>
  <si>
    <t>Bond Fund</t>
  </si>
  <si>
    <t>Domestic Stock Fund</t>
  </si>
  <si>
    <t>Individual Stock</t>
  </si>
  <si>
    <t>VFISX</t>
  </si>
  <si>
    <t>Short Term Treasury</t>
  </si>
  <si>
    <t>Growth Last Year</t>
  </si>
  <si>
    <t>5 Year Growth</t>
  </si>
  <si>
    <t>Money Market</t>
  </si>
  <si>
    <t xml:space="preserve">Prime Money Market </t>
  </si>
  <si>
    <t>VMMXX</t>
  </si>
  <si>
    <t>VBISX</t>
  </si>
  <si>
    <t>VFINX</t>
  </si>
  <si>
    <t>VISGX</t>
  </si>
  <si>
    <t>VDMIX</t>
  </si>
  <si>
    <t>VTRIX</t>
  </si>
  <si>
    <t>Long Term Treasury</t>
  </si>
  <si>
    <t>Short Term Investment Grade</t>
  </si>
  <si>
    <t>High Yield Corporate</t>
  </si>
  <si>
    <t>Intermediate Investment Grade</t>
  </si>
  <si>
    <t>Short Term Bond Index</t>
  </si>
  <si>
    <t>S&amp;P 500 Index</t>
  </si>
  <si>
    <t>Equity Income</t>
  </si>
  <si>
    <t>Mid Cap</t>
  </si>
  <si>
    <t>Small Cap Growth</t>
  </si>
  <si>
    <t>Developed Markets</t>
  </si>
  <si>
    <t>International Value</t>
  </si>
  <si>
    <t>International Stock Fund</t>
  </si>
  <si>
    <t>Apple Inc.</t>
  </si>
  <si>
    <t>International Business Machine</t>
  </si>
  <si>
    <t>Google Inc.</t>
  </si>
  <si>
    <t>Johnson and Johnson</t>
  </si>
  <si>
    <t>KO</t>
  </si>
  <si>
    <t>Coca Cola</t>
  </si>
  <si>
    <t>Microsoft Corporation</t>
  </si>
  <si>
    <t>TRV</t>
  </si>
  <si>
    <t>The Travelers Companies, Inc.</t>
  </si>
  <si>
    <t>Dividend / Yield</t>
  </si>
  <si>
    <t>Benchmark</t>
  </si>
  <si>
    <t>Estimated Dividend Payments</t>
  </si>
  <si>
    <t>Months Owned</t>
  </si>
  <si>
    <t>Purchase Price per Share</t>
  </si>
  <si>
    <t>Current Investment Value</t>
  </si>
  <si>
    <t>Percent Gain/Loss</t>
  </si>
  <si>
    <t>Target Annual Growth Rate</t>
  </si>
  <si>
    <t>Total</t>
  </si>
  <si>
    <t>Actual Annual Growth Rate</t>
  </si>
  <si>
    <t>Buy/Sell Indicator</t>
  </si>
  <si>
    <t>Current Purchase Value</t>
  </si>
  <si>
    <t>Target vs Actual Growth Rate</t>
  </si>
  <si>
    <t>Descriptive Information</t>
  </si>
  <si>
    <t>Purchase</t>
  </si>
  <si>
    <t>Percent of Portfolio</t>
  </si>
  <si>
    <t>Average Months Owned</t>
  </si>
  <si>
    <t>Investment List</t>
  </si>
  <si>
    <t>10 Year Growth</t>
  </si>
  <si>
    <t>S&amp;P 500</t>
  </si>
  <si>
    <t>1 Year Growth</t>
  </si>
  <si>
    <t>3 Year Growth</t>
  </si>
  <si>
    <t>Benchmark 5 Year Growth</t>
  </si>
  <si>
    <t>Barclays</t>
  </si>
  <si>
    <t>Dow Jones</t>
  </si>
  <si>
    <t>MSCI EAFE</t>
  </si>
  <si>
    <t>Financial Benchmarks</t>
  </si>
  <si>
    <t>Poor Performing Investments</t>
  </si>
  <si>
    <t>Annual Growth</t>
  </si>
  <si>
    <t>Performance Analysis</t>
  </si>
  <si>
    <t>Current vs.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</si>
</sst>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10" fontId="1" fillId="0" borderId="0" xfId="1" applyNumberFormat="1" applyFont="1"/>
    <xf numFmtId="44" fontId="1" fillId="0" borderId="0" xfId="0" applyNumberFormat="1" applyFont="1"/>
    <xf numFmtId="0" fontId="1" fillId="0" borderId="1" xfId="0" applyFont="1" applyBorder="1"/>
    <xf numFmtId="10" fontId="1" fillId="0" borderId="1" xfId="1" applyNumberFormat="1" applyFont="1" applyBorder="1"/>
    <xf numFmtId="44" fontId="1" fillId="0" borderId="1" xfId="3" applyFont="1" applyBorder="1"/>
    <xf numFmtId="165" fontId="1" fillId="0" borderId="1" xfId="0" applyNumberFormat="1" applyFont="1" applyBorder="1"/>
    <xf numFmtId="164" fontId="1" fillId="0" borderId="1" xfId="1" applyNumberFormat="1" applyFont="1" applyBorder="1"/>
    <xf numFmtId="10" fontId="1" fillId="0" borderId="2" xfId="1" applyNumberFormat="1" applyFont="1" applyBorder="1"/>
    <xf numFmtId="0" fontId="1" fillId="0" borderId="7" xfId="0" applyFont="1" applyBorder="1"/>
    <xf numFmtId="165" fontId="1" fillId="0" borderId="8" xfId="0" applyNumberFormat="1" applyFont="1" applyBorder="1"/>
    <xf numFmtId="0" fontId="1" fillId="0" borderId="8" xfId="0" applyFont="1" applyBorder="1"/>
    <xf numFmtId="44" fontId="1" fillId="0" borderId="7" xfId="3" applyFont="1" applyBorder="1"/>
    <xf numFmtId="164" fontId="1" fillId="0" borderId="7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10" fontId="1" fillId="0" borderId="18" xfId="1" applyNumberFormat="1" applyFont="1" applyBorder="1"/>
    <xf numFmtId="44" fontId="1" fillId="0" borderId="17" xfId="3" applyFont="1" applyBorder="1"/>
    <xf numFmtId="165" fontId="1" fillId="0" borderId="19" xfId="0" applyNumberFormat="1" applyFont="1" applyBorder="1"/>
    <xf numFmtId="44" fontId="1" fillId="0" borderId="16" xfId="3" applyFont="1" applyBorder="1"/>
    <xf numFmtId="165" fontId="1" fillId="0" borderId="17" xfId="0" applyNumberFormat="1" applyFont="1" applyBorder="1"/>
    <xf numFmtId="164" fontId="1" fillId="0" borderId="16" xfId="1" applyNumberFormat="1" applyFont="1" applyBorder="1"/>
    <xf numFmtId="164" fontId="1" fillId="0" borderId="17" xfId="1" applyNumberFormat="1" applyFont="1" applyBorder="1"/>
    <xf numFmtId="0" fontId="1" fillId="0" borderId="19" xfId="0" applyFont="1" applyBorder="1"/>
    <xf numFmtId="10" fontId="1" fillId="0" borderId="17" xfId="1" applyNumberFormat="1" applyFont="1" applyBorder="1"/>
    <xf numFmtId="0" fontId="6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15" xfId="0" applyFont="1" applyFill="1" applyBorder="1" applyAlignment="1">
      <alignment wrapText="1"/>
    </xf>
    <xf numFmtId="0" fontId="7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1" fillId="0" borderId="21" xfId="0" applyFont="1" applyBorder="1"/>
    <xf numFmtId="0" fontId="1" fillId="0" borderId="24" xfId="0" applyFont="1" applyBorder="1"/>
    <xf numFmtId="10" fontId="1" fillId="0" borderId="13" xfId="1" applyNumberFormat="1" applyFont="1" applyBorder="1"/>
    <xf numFmtId="44" fontId="1" fillId="0" borderId="12" xfId="3" applyFont="1" applyBorder="1"/>
    <xf numFmtId="165" fontId="1" fillId="0" borderId="14" xfId="0" applyNumberFormat="1" applyFont="1" applyBorder="1"/>
    <xf numFmtId="44" fontId="1" fillId="0" borderId="11" xfId="3" applyFont="1" applyBorder="1"/>
    <xf numFmtId="165" fontId="1" fillId="0" borderId="12" xfId="0" applyNumberFormat="1" applyFont="1" applyBorder="1"/>
    <xf numFmtId="164" fontId="1" fillId="0" borderId="11" xfId="1" applyNumberFormat="1" applyFont="1" applyBorder="1"/>
    <xf numFmtId="164" fontId="1" fillId="0" borderId="12" xfId="1" applyNumberFormat="1" applyFont="1" applyBorder="1"/>
    <xf numFmtId="10" fontId="1" fillId="0" borderId="12" xfId="1" applyNumberFormat="1" applyFont="1" applyBorder="1"/>
    <xf numFmtId="166" fontId="1" fillId="0" borderId="16" xfId="2" applyNumberFormat="1" applyFont="1" applyBorder="1"/>
    <xf numFmtId="166" fontId="1" fillId="0" borderId="7" xfId="2" applyNumberFormat="1" applyFont="1" applyBorder="1"/>
    <xf numFmtId="166" fontId="1" fillId="0" borderId="11" xfId="2" applyNumberFormat="1" applyFont="1" applyBorder="1"/>
    <xf numFmtId="166" fontId="1" fillId="0" borderId="21" xfId="2" applyNumberFormat="1" applyFont="1" applyBorder="1"/>
    <xf numFmtId="165" fontId="1" fillId="0" borderId="24" xfId="0" applyNumberFormat="1" applyFont="1" applyBorder="1"/>
    <xf numFmtId="165" fontId="1" fillId="0" borderId="25" xfId="3" applyNumberFormat="1" applyFont="1" applyBorder="1"/>
    <xf numFmtId="10" fontId="1" fillId="0" borderId="22" xfId="1" applyNumberFormat="1" applyFont="1" applyBorder="1"/>
    <xf numFmtId="0" fontId="3" fillId="8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1" fontId="1" fillId="0" borderId="1" xfId="0" applyNumberFormat="1" applyFont="1" applyBorder="1"/>
    <xf numFmtId="165" fontId="1" fillId="0" borderId="1" xfId="3" applyNumberFormat="1" applyFont="1" applyBorder="1"/>
    <xf numFmtId="0" fontId="3" fillId="0" borderId="17" xfId="0" applyFont="1" applyBorder="1"/>
    <xf numFmtId="0" fontId="3" fillId="0" borderId="12" xfId="0" applyFont="1" applyBorder="1"/>
    <xf numFmtId="1" fontId="1" fillId="0" borderId="12" xfId="0" applyNumberFormat="1" applyFont="1" applyBorder="1"/>
    <xf numFmtId="165" fontId="1" fillId="0" borderId="12" xfId="3" applyNumberFormat="1" applyFont="1" applyBorder="1"/>
    <xf numFmtId="165" fontId="1" fillId="0" borderId="17" xfId="3" applyNumberFormat="1" applyFont="1" applyBorder="1"/>
    <xf numFmtId="165" fontId="1" fillId="0" borderId="19" xfId="3" applyNumberFormat="1" applyFont="1" applyBorder="1"/>
    <xf numFmtId="165" fontId="1" fillId="0" borderId="8" xfId="3" applyNumberFormat="1" applyFont="1" applyBorder="1"/>
    <xf numFmtId="165" fontId="1" fillId="0" borderId="14" xfId="3" applyNumberFormat="1" applyFont="1" applyBorder="1"/>
    <xf numFmtId="165" fontId="1" fillId="0" borderId="22" xfId="3" applyNumberFormat="1" applyFont="1" applyBorder="1"/>
    <xf numFmtId="165" fontId="1" fillId="0" borderId="24" xfId="3" applyNumberFormat="1" applyFont="1" applyBorder="1"/>
    <xf numFmtId="1" fontId="1" fillId="0" borderId="17" xfId="0" applyNumberFormat="1" applyFont="1" applyBorder="1"/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9" fillId="0" borderId="27" xfId="0" applyFont="1" applyFill="1" applyBorder="1" applyAlignment="1"/>
    <xf numFmtId="0" fontId="1" fillId="0" borderId="0" xfId="0" applyFont="1" applyBorder="1"/>
    <xf numFmtId="1" fontId="3" fillId="0" borderId="17" xfId="0" applyNumberFormat="1" applyFont="1" applyBorder="1"/>
    <xf numFmtId="165" fontId="3" fillId="0" borderId="17" xfId="0" applyNumberFormat="1" applyFont="1" applyBorder="1"/>
    <xf numFmtId="164" fontId="3" fillId="0" borderId="17" xfId="1" applyNumberFormat="1" applyFont="1" applyBorder="1"/>
    <xf numFmtId="164" fontId="3" fillId="0" borderId="17" xfId="0" applyNumberFormat="1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3" fillId="0" borderId="0" xfId="0" applyFont="1"/>
    <xf numFmtId="165" fontId="1" fillId="0" borderId="20" xfId="3" applyNumberFormat="1" applyFont="1" applyBorder="1"/>
    <xf numFmtId="165" fontId="1" fillId="0" borderId="4" xfId="3" applyNumberFormat="1" applyFont="1" applyBorder="1"/>
    <xf numFmtId="165" fontId="1" fillId="0" borderId="15" xfId="3" applyNumberFormat="1" applyFont="1" applyBorder="1"/>
    <xf numFmtId="0" fontId="3" fillId="0" borderId="0" xfId="0" applyFont="1" applyBorder="1"/>
    <xf numFmtId="0" fontId="5" fillId="6" borderId="0" xfId="0" applyFont="1" applyFill="1" applyAlignment="1">
      <alignment horizontal="center" vertical="center"/>
    </xf>
    <xf numFmtId="0" fontId="9" fillId="11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8" fillId="10" borderId="26" xfId="0" applyFont="1" applyFill="1" applyBorder="1" applyAlignment="1">
      <alignment horizontal="left" vertical="center" indent="3"/>
    </xf>
    <xf numFmtId="0" fontId="8" fillId="10" borderId="9" xfId="0" applyFont="1" applyFill="1" applyBorder="1" applyAlignment="1">
      <alignment horizontal="left" vertical="center" indent="3"/>
    </xf>
    <xf numFmtId="0" fontId="8" fillId="10" borderId="10" xfId="0" applyFont="1" applyFill="1" applyBorder="1" applyAlignment="1">
      <alignment horizontal="left" vertical="center" indent="3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30" zoomScaleNormal="130" workbookViewId="0">
      <selection activeCell="F11" sqref="F11"/>
    </sheetView>
  </sheetViews>
  <sheetFormatPr defaultRowHeight="15" x14ac:dyDescent="0.2"/>
  <cols>
    <col min="1" max="1" width="28.7109375" style="1" customWidth="1"/>
    <col min="2" max="2" width="14.140625" style="1" customWidth="1"/>
    <col min="3" max="3" width="10.85546875" style="1" customWidth="1"/>
    <col min="4" max="4" width="13.28515625" style="1" customWidth="1"/>
    <col min="5" max="5" width="12.140625" style="1" customWidth="1"/>
    <col min="6" max="6" width="10.5703125" style="1" customWidth="1"/>
    <col min="7" max="7" width="15" style="1" customWidth="1"/>
    <col min="8" max="8" width="15.7109375" style="1" customWidth="1"/>
    <col min="9" max="16384" width="9.140625" style="1"/>
  </cols>
  <sheetData>
    <row r="1" spans="1:8" ht="27.75" customHeight="1" x14ac:dyDescent="0.2">
      <c r="A1" s="85" t="s">
        <v>19</v>
      </c>
      <c r="B1" s="85"/>
      <c r="C1" s="85"/>
      <c r="D1" s="85"/>
      <c r="E1" s="85"/>
      <c r="F1" s="85"/>
      <c r="G1" s="85"/>
      <c r="H1" s="85"/>
    </row>
    <row r="2" spans="1:8" ht="22.5" customHeight="1" x14ac:dyDescent="0.25">
      <c r="A2" s="86" t="s">
        <v>17</v>
      </c>
      <c r="B2" s="86"/>
      <c r="C2" s="86"/>
      <c r="D2" s="86"/>
      <c r="E2" s="86"/>
      <c r="F2" s="86"/>
      <c r="G2" s="86"/>
      <c r="H2" s="86"/>
    </row>
    <row r="3" spans="1:8" ht="45.75" thickBot="1" x14ac:dyDescent="0.3">
      <c r="A3" s="4"/>
      <c r="B3" s="70" t="s">
        <v>15</v>
      </c>
      <c r="C3" s="70" t="s">
        <v>85</v>
      </c>
      <c r="D3" s="70" t="s">
        <v>16</v>
      </c>
      <c r="E3" s="70" t="s">
        <v>8</v>
      </c>
      <c r="F3" s="70" t="s">
        <v>97</v>
      </c>
      <c r="G3" s="70" t="s">
        <v>91</v>
      </c>
      <c r="H3" s="71" t="s">
        <v>70</v>
      </c>
    </row>
    <row r="4" spans="1:8" ht="15.75" x14ac:dyDescent="0.25">
      <c r="A4" s="56" t="s">
        <v>33</v>
      </c>
      <c r="B4" s="19">
        <f>COUNTIF('Investment Detail'!$A$4:$A$18,A4)</f>
        <v>4</v>
      </c>
      <c r="C4" s="69">
        <f>AVERAGEIF('Investment Detail'!$A$4:$A$18,A4,'Investment Detail'!$Q$4:$Q$18)</f>
        <v>35.75</v>
      </c>
      <c r="D4" s="63">
        <f>SUMIF('Investment Detail'!$A$4:$A$18,A4,'Investment Detail'!$G$4:$G$18)</f>
        <v>23772.5</v>
      </c>
      <c r="E4" s="63">
        <f>SUMIF('Investment Detail'!$A$4:$A$18,A4,'Investment Detail'!$K$4:$K$18)</f>
        <v>27273.967887930798</v>
      </c>
      <c r="F4" s="26">
        <f>((E4-D4)/D4)/(C4/12)</f>
        <v>4.9440231042267149E-2</v>
      </c>
      <c r="G4" s="26"/>
      <c r="H4" s="19" t="s">
        <v>92</v>
      </c>
    </row>
    <row r="5" spans="1:8" ht="15.75" x14ac:dyDescent="0.25">
      <c r="A5" s="56" t="s">
        <v>34</v>
      </c>
      <c r="B5" s="4">
        <f>COUNTIF('Investment Detail'!$A$4:$A$18,A5)</f>
        <v>3</v>
      </c>
      <c r="C5" s="57">
        <f>AVERAGEIF('Investment Detail'!$A$4:$A$18,A5,'Investment Detail'!$Q$4:$Q$18)</f>
        <v>33.666666666666664</v>
      </c>
      <c r="D5" s="58">
        <f>SUMIF('Investment Detail'!$A$4:$A$18,A5,'Investment Detail'!$G$4:$G$18)</f>
        <v>22110</v>
      </c>
      <c r="E5" s="58">
        <f>SUMIF('Investment Detail'!$A$4:$A$18,A5,'Investment Detail'!$K$4:$K$18)</f>
        <v>22903.340733842793</v>
      </c>
      <c r="F5" s="8">
        <f t="shared" ref="F5:F8" si="0">((E5-D5)/D5)/(C5/12)</f>
        <v>1.2789457939080727E-2</v>
      </c>
      <c r="G5" s="8"/>
      <c r="H5" s="4" t="s">
        <v>88</v>
      </c>
    </row>
    <row r="6" spans="1:8" ht="15.75" x14ac:dyDescent="0.25">
      <c r="A6" s="56" t="s">
        <v>59</v>
      </c>
      <c r="B6" s="4">
        <f>COUNTIF('Investment Detail'!$A$4:$A$18,A6)</f>
        <v>3</v>
      </c>
      <c r="C6" s="57">
        <f>AVERAGEIF('Investment Detail'!$A$4:$A$18,A6,'Investment Detail'!$Q$4:$Q$18)</f>
        <v>26.666666666666668</v>
      </c>
      <c r="D6" s="58">
        <f>SUMIF('Investment Detail'!$A$4:$A$18,A6,'Investment Detail'!$G$4:$G$18)</f>
        <v>18982.5</v>
      </c>
      <c r="E6" s="58">
        <f>SUMIF('Investment Detail'!$A$4:$A$18,A6,'Investment Detail'!$K$4:$K$18)</f>
        <v>22578.489148337248</v>
      </c>
      <c r="F6" s="8">
        <f t="shared" si="0"/>
        <v>8.5246680719176168E-2</v>
      </c>
      <c r="G6" s="8"/>
      <c r="H6" s="4" t="s">
        <v>94</v>
      </c>
    </row>
    <row r="7" spans="1:8" ht="16.5" thickBot="1" x14ac:dyDescent="0.3">
      <c r="A7" s="60" t="s">
        <v>35</v>
      </c>
      <c r="B7" s="15">
        <f>COUNTIF('Investment Detail'!$A$4:$A$18,A7)</f>
        <v>5</v>
      </c>
      <c r="C7" s="61">
        <f>AVERAGEIF('Investment Detail'!$A$4:$A$18,A7,'Investment Detail'!$Q$4:$Q$18)</f>
        <v>63</v>
      </c>
      <c r="D7" s="62">
        <f>SUMIF('Investment Detail'!$A$4:$A$18,A7,'Investment Detail'!$G$4:$G$18)</f>
        <v>31762.5</v>
      </c>
      <c r="E7" s="62">
        <f>SUMIF('Investment Detail'!$A$4:$A$18,A7,'Investment Detail'!$K$4:$K$18)</f>
        <v>45101.085260954264</v>
      </c>
      <c r="F7" s="45">
        <f t="shared" si="0"/>
        <v>7.9990016744539344E-2</v>
      </c>
      <c r="G7" s="45"/>
      <c r="H7" s="15" t="s">
        <v>93</v>
      </c>
    </row>
    <row r="8" spans="1:8" ht="21" customHeight="1" x14ac:dyDescent="0.25">
      <c r="A8" s="59" t="s">
        <v>18</v>
      </c>
      <c r="B8" s="59">
        <f>SUM(B4:B7)</f>
        <v>15</v>
      </c>
      <c r="C8" s="74">
        <f>'Investment Detail'!Q19</f>
        <v>42.6</v>
      </c>
      <c r="D8" s="75">
        <f>SUM(D4:D7)</f>
        <v>96627.5</v>
      </c>
      <c r="E8" s="75">
        <f>SUM(E4:E7)</f>
        <v>117856.8830310651</v>
      </c>
      <c r="F8" s="76">
        <f t="shared" si="0"/>
        <v>6.1888260547718552E-2</v>
      </c>
      <c r="G8" s="77"/>
      <c r="H8" s="59"/>
    </row>
    <row r="9" spans="1:8" ht="22.5" customHeight="1" x14ac:dyDescent="0.25">
      <c r="A9" s="87" t="s">
        <v>96</v>
      </c>
      <c r="B9" s="88"/>
      <c r="C9" s="88"/>
      <c r="D9" s="88"/>
      <c r="E9" s="88"/>
      <c r="F9" s="89"/>
      <c r="G9" s="72"/>
      <c r="H9" s="72"/>
    </row>
    <row r="10" spans="1:8" ht="45.75" thickBot="1" x14ac:dyDescent="0.3">
      <c r="A10" s="4"/>
      <c r="B10" s="70" t="s">
        <v>15</v>
      </c>
      <c r="C10" s="70" t="s">
        <v>85</v>
      </c>
      <c r="D10" s="70" t="s">
        <v>16</v>
      </c>
      <c r="E10" s="70" t="s">
        <v>8</v>
      </c>
      <c r="F10" s="70" t="s">
        <v>97</v>
      </c>
      <c r="G10" s="73"/>
      <c r="H10" s="73"/>
    </row>
    <row r="11" spans="1:8" ht="15.75" x14ac:dyDescent="0.25">
      <c r="A11" s="56" t="s">
        <v>33</v>
      </c>
      <c r="B11" s="19">
        <f>COUNTIFS('Investment Detail'!$A$4:$A$18,A11,'Investment Detail'!$W$4:$W$18,"&lt;-1%")</f>
        <v>1</v>
      </c>
      <c r="C11" s="69">
        <f>AVERAGEIFS('Investment Detail'!$Q$4:$Q$18,'Investment Detail'!$A$4:$A$18,A11,'Investment Detail'!$W$4:$W$18,"&lt;-1%")</f>
        <v>10</v>
      </c>
      <c r="D11" s="63">
        <f>SUMIFS('Investment Detail'!$G$4:$G$18,'Investment Detail'!$A$4:$A$18,A11,'Investment Detail'!$W$4:$W$18,"&lt;-1%")</f>
        <v>5500</v>
      </c>
      <c r="E11" s="63">
        <f>SUMIFS('Investment Detail'!$K$4:$K$18,'Investment Detail'!$A$4:$A$18,A11,'Investment Detail'!$W$4:$W$18,"&lt;-1%")</f>
        <v>5626.1079209423333</v>
      </c>
      <c r="F11" s="8">
        <f t="shared" ref="F11:F15" si="1">((E11-D11)/D11)/(C11/12)</f>
        <v>2.7514455478327263E-2</v>
      </c>
      <c r="G11" s="73"/>
      <c r="H11" s="73"/>
    </row>
    <row r="12" spans="1:8" ht="15.75" x14ac:dyDescent="0.25">
      <c r="A12" s="56" t="s">
        <v>34</v>
      </c>
      <c r="B12" s="4">
        <f>COUNTIFS('Investment Detail'!$A$4:$A$18,A12,'Investment Detail'!$W$4:$W$18,"&lt;-1%")</f>
        <v>3</v>
      </c>
      <c r="C12" s="57">
        <f>AVERAGEIFS('Investment Detail'!$Q$4:$Q$18,'Investment Detail'!$A$4:$A$18,A12,'Investment Detail'!$W$4:$W$18,"&lt;-1%")</f>
        <v>33.666666666666664</v>
      </c>
      <c r="D12" s="58">
        <f>SUMIFS('Investment Detail'!$G$4:$G$18,'Investment Detail'!$A$4:$A$18,A12,'Investment Detail'!$W$4:$W$18,"&lt;-1%")</f>
        <v>22110</v>
      </c>
      <c r="E12" s="58">
        <f>SUMIFS('Investment Detail'!$K$4:$K$18,'Investment Detail'!$A$4:$A$18,A12,'Investment Detail'!$W$4:$W$18,"&lt;-1%")</f>
        <v>22903.340733842793</v>
      </c>
      <c r="F12" s="8">
        <f t="shared" si="1"/>
        <v>1.2789457939080727E-2</v>
      </c>
      <c r="G12" s="73"/>
      <c r="H12" s="73"/>
    </row>
    <row r="13" spans="1:8" ht="15.75" x14ac:dyDescent="0.25">
      <c r="A13" s="56" t="s">
        <v>59</v>
      </c>
      <c r="B13" s="4">
        <f>COUNTIFS('Investment Detail'!$A$4:$A$18,A13,'Investment Detail'!$W$4:$W$18,"&lt;-1%")</f>
        <v>1</v>
      </c>
      <c r="C13" s="57">
        <f>AVERAGEIFS('Investment Detail'!$Q$4:$Q$18,'Investment Detail'!$A$4:$A$18,A13,'Investment Detail'!$W$4:$W$18,"&lt;-1%")</f>
        <v>42</v>
      </c>
      <c r="D13" s="58">
        <f>SUMIFS('Investment Detail'!$G$4:$G$18,'Investment Detail'!$A$4:$A$18,A13,'Investment Detail'!$W$4:$W$18,"&lt;-1%")</f>
        <v>7340</v>
      </c>
      <c r="E13" s="58">
        <f>SUMIFS('Investment Detail'!$K$4:$K$18,'Investment Detail'!$A$4:$A$18,A13,'Investment Detail'!$W$4:$W$18,"&lt;-1%")</f>
        <v>5958.4831419919183</v>
      </c>
      <c r="F13" s="8">
        <f t="shared" si="1"/>
        <v>-5.3776444453409178E-2</v>
      </c>
      <c r="G13" s="73"/>
      <c r="H13" s="73"/>
    </row>
    <row r="14" spans="1:8" ht="16.5" thickBot="1" x14ac:dyDescent="0.3">
      <c r="A14" s="60" t="s">
        <v>35</v>
      </c>
      <c r="B14" s="15">
        <f>COUNTIFS('Investment Detail'!$A$4:$A$18,A14,'Investment Detail'!$W$4:$W$18,"&lt;-1%")</f>
        <v>2</v>
      </c>
      <c r="C14" s="61">
        <f>AVERAGEIFS('Investment Detail'!$Q$4:$Q$18,'Investment Detail'!$A$4:$A$18,A14,'Investment Detail'!$W$4:$W$18,"&lt;-1%")</f>
        <v>68.5</v>
      </c>
      <c r="D14" s="62">
        <f>SUMIFS('Investment Detail'!$G$4:$G$18,'Investment Detail'!$A$4:$A$18,A14,'Investment Detail'!$W$4:$W$18,"&lt;-1%")</f>
        <v>10096.5</v>
      </c>
      <c r="E14" s="62">
        <f>SUMIFS('Investment Detail'!$K$4:$K$18,'Investment Detail'!$A$4:$A$18,A14,'Investment Detail'!$W$4:$W$18,"&lt;-1%")</f>
        <v>13990.486907457132</v>
      </c>
      <c r="F14" s="45">
        <f t="shared" si="1"/>
        <v>6.7563837999054521E-2</v>
      </c>
      <c r="G14" s="73"/>
      <c r="H14" s="73"/>
    </row>
    <row r="15" spans="1:8" ht="20.25" customHeight="1" x14ac:dyDescent="0.25">
      <c r="A15" s="59" t="s">
        <v>18</v>
      </c>
      <c r="B15" s="59">
        <f>SUM(B11:B14)</f>
        <v>7</v>
      </c>
      <c r="C15" s="74">
        <f>AVERAGEIF('Investment Detail'!W4:W18,"&lt;-1%",'Investment Detail'!Q4:Q18)</f>
        <v>41.428571428571431</v>
      </c>
      <c r="D15" s="75">
        <f>SUM(D11:D14)</f>
        <v>45046.5</v>
      </c>
      <c r="E15" s="75">
        <f>SUM(E11:E14)</f>
        <v>48478.41870423418</v>
      </c>
      <c r="F15" s="76">
        <f t="shared" si="1"/>
        <v>2.2067707901503395E-2</v>
      </c>
      <c r="G15" s="73"/>
      <c r="H15" s="73"/>
    </row>
  </sheetData>
  <mergeCells count="3">
    <mergeCell ref="A1:H1"/>
    <mergeCell ref="A2:H2"/>
    <mergeCell ref="A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zoomScale="130" zoomScaleNormal="13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26.140625" style="1" customWidth="1"/>
    <col min="2" max="2" width="9.85546875" style="1" customWidth="1"/>
    <col min="3" max="3" width="33.28515625" style="1" customWidth="1"/>
    <col min="4" max="4" width="10" style="1" customWidth="1"/>
    <col min="5" max="5" width="10.7109375" style="1" customWidth="1"/>
    <col min="6" max="6" width="11.140625" style="1" customWidth="1"/>
    <col min="7" max="8" width="11.5703125" style="1" customWidth="1"/>
    <col min="9" max="9" width="12.28515625" style="1" customWidth="1"/>
    <col min="10" max="10" width="11.5703125" style="1" customWidth="1"/>
    <col min="11" max="11" width="12.28515625" style="1" customWidth="1"/>
    <col min="12" max="12" width="11.42578125" style="1" customWidth="1"/>
    <col min="13" max="13" width="11.85546875" style="1" customWidth="1"/>
    <col min="14" max="14" width="11.28515625" style="1" customWidth="1"/>
    <col min="15" max="15" width="12.5703125" style="1" customWidth="1"/>
    <col min="16" max="16" width="12.7109375" style="1" customWidth="1"/>
    <col min="17" max="17" width="8.85546875" style="1" customWidth="1"/>
    <col min="18" max="18" width="12.5703125" style="1" customWidth="1"/>
    <col min="19" max="20" width="11.28515625" style="1" customWidth="1"/>
    <col min="21" max="21" width="13.7109375" style="1" customWidth="1"/>
    <col min="22" max="22" width="13.140625" style="1" customWidth="1"/>
    <col min="23" max="23" width="14.85546875" style="1" customWidth="1"/>
    <col min="24" max="24" width="15" style="1" customWidth="1"/>
    <col min="25" max="16384" width="9.140625" style="1"/>
  </cols>
  <sheetData>
    <row r="1" spans="1:24" ht="27" customHeight="1" x14ac:dyDescent="0.2">
      <c r="A1" s="90" t="s">
        <v>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2"/>
    </row>
    <row r="2" spans="1:24" ht="21" customHeight="1" x14ac:dyDescent="0.2">
      <c r="A2" s="98" t="s">
        <v>82</v>
      </c>
      <c r="B2" s="99"/>
      <c r="C2" s="99"/>
      <c r="D2" s="100"/>
      <c r="E2" s="101" t="s">
        <v>83</v>
      </c>
      <c r="F2" s="102"/>
      <c r="G2" s="103"/>
      <c r="H2" s="104" t="s">
        <v>8</v>
      </c>
      <c r="I2" s="105"/>
      <c r="J2" s="105"/>
      <c r="K2" s="106"/>
      <c r="L2" s="93" t="s">
        <v>84</v>
      </c>
      <c r="M2" s="94"/>
      <c r="N2" s="94"/>
      <c r="O2" s="94"/>
      <c r="P2" s="94"/>
      <c r="Q2" s="94"/>
      <c r="R2" s="95"/>
      <c r="S2" s="96" t="s">
        <v>98</v>
      </c>
      <c r="T2" s="96"/>
      <c r="U2" s="96"/>
      <c r="V2" s="96"/>
      <c r="W2" s="96"/>
      <c r="X2" s="97"/>
    </row>
    <row r="3" spans="1:24" ht="39" thickBot="1" x14ac:dyDescent="0.25">
      <c r="A3" s="29" t="s">
        <v>0</v>
      </c>
      <c r="B3" s="30" t="s">
        <v>1</v>
      </c>
      <c r="C3" s="30" t="s">
        <v>2</v>
      </c>
      <c r="D3" s="31" t="s">
        <v>69</v>
      </c>
      <c r="E3" s="29" t="s">
        <v>4</v>
      </c>
      <c r="F3" s="30" t="s">
        <v>73</v>
      </c>
      <c r="G3" s="32" t="s">
        <v>5</v>
      </c>
      <c r="H3" s="29" t="s">
        <v>6</v>
      </c>
      <c r="I3" s="30" t="s">
        <v>80</v>
      </c>
      <c r="J3" s="30" t="s">
        <v>71</v>
      </c>
      <c r="K3" s="32" t="s">
        <v>74</v>
      </c>
      <c r="L3" s="29" t="s">
        <v>10</v>
      </c>
      <c r="M3" s="30" t="s">
        <v>11</v>
      </c>
      <c r="N3" s="30" t="s">
        <v>99</v>
      </c>
      <c r="O3" s="30" t="s">
        <v>12</v>
      </c>
      <c r="P3" s="30" t="s">
        <v>79</v>
      </c>
      <c r="Q3" s="30" t="s">
        <v>72</v>
      </c>
      <c r="R3" s="32" t="s">
        <v>14</v>
      </c>
      <c r="S3" s="33" t="s">
        <v>9</v>
      </c>
      <c r="T3" s="30" t="s">
        <v>75</v>
      </c>
      <c r="U3" s="30" t="s">
        <v>76</v>
      </c>
      <c r="V3" s="30" t="s">
        <v>78</v>
      </c>
      <c r="W3" s="30" t="s">
        <v>81</v>
      </c>
      <c r="X3" s="32" t="s">
        <v>13</v>
      </c>
    </row>
    <row r="4" spans="1:24" x14ac:dyDescent="0.2">
      <c r="A4" s="18" t="s">
        <v>33</v>
      </c>
      <c r="B4" s="19" t="s">
        <v>23</v>
      </c>
      <c r="C4" s="19" t="str">
        <f>VLOOKUP(B4,'Investment List'!$A$3:$F$23,2,FALSE)</f>
        <v>Intermediate Investment Grade</v>
      </c>
      <c r="D4" s="20">
        <v>4.5999999999999999E-2</v>
      </c>
      <c r="E4" s="47">
        <v>750</v>
      </c>
      <c r="F4" s="21">
        <v>9.49</v>
      </c>
      <c r="G4" s="22">
        <f>E4*F4</f>
        <v>7117.5</v>
      </c>
      <c r="H4" s="23">
        <v>9.84</v>
      </c>
      <c r="I4" s="24">
        <f>H4*E4</f>
        <v>7380</v>
      </c>
      <c r="J4" s="63">
        <f>FV(D4/12,Q4,0,-G4)-G4</f>
        <v>1434.8386527067451</v>
      </c>
      <c r="K4" s="64">
        <f>I4+J4</f>
        <v>8814.8386527067451</v>
      </c>
      <c r="L4" s="25">
        <f>K4/$K$19</f>
        <v>7.479273527353765E-2</v>
      </c>
      <c r="M4" s="26">
        <v>0.1</v>
      </c>
      <c r="N4" s="26">
        <f>L4-M4</f>
        <v>-2.5207264726462356E-2</v>
      </c>
      <c r="O4" s="19" t="str">
        <f>IF(N4&gt;1%,"Rebalance",IF(N4&lt;-1%,"Rebalance","OK"))</f>
        <v>Rebalance</v>
      </c>
      <c r="P4" s="26" t="str">
        <f>IF(AND(N4&lt;-1%,S4&gt;=0)=TRUE,"Buy","Hold or Sell")</f>
        <v>Buy</v>
      </c>
      <c r="Q4" s="19">
        <v>48</v>
      </c>
      <c r="R4" s="27" t="str">
        <f>IF(Q4&gt;=12,"Long","Short")</f>
        <v>Long</v>
      </c>
      <c r="S4" s="81">
        <f>K4-G4</f>
        <v>1697.3386527067451</v>
      </c>
      <c r="T4" s="28">
        <f>S4/G4</f>
        <v>0.23847399405784966</v>
      </c>
      <c r="U4" s="28">
        <v>4.5999999999999999E-2</v>
      </c>
      <c r="V4" s="28">
        <f>T4/(Q4/12)</f>
        <v>5.9618498514462416E-2</v>
      </c>
      <c r="W4" s="28">
        <f>V4-U4</f>
        <v>1.3618498514462417E-2</v>
      </c>
      <c r="X4" s="27" t="str">
        <f>IF(OR(S4&lt;0,W4&lt;-1%)=TRUE,"Warning","OK")</f>
        <v>OK</v>
      </c>
    </row>
    <row r="5" spans="1:24" x14ac:dyDescent="0.2">
      <c r="A5" s="10" t="s">
        <v>33</v>
      </c>
      <c r="B5" s="4" t="s">
        <v>21</v>
      </c>
      <c r="C5" s="4" t="str">
        <f>VLOOKUP(B5,'Investment List'!$A$3:$F$23,2,FALSE)</f>
        <v>Short Term Investment Grade</v>
      </c>
      <c r="D5" s="9">
        <v>3.2000000000000001E-2</v>
      </c>
      <c r="E5" s="48">
        <v>750</v>
      </c>
      <c r="F5" s="6">
        <v>10.68</v>
      </c>
      <c r="G5" s="11">
        <f t="shared" ref="G5:G18" si="0">E5*F5</f>
        <v>8010</v>
      </c>
      <c r="H5" s="13">
        <v>10.73</v>
      </c>
      <c r="I5" s="7">
        <f t="shared" ref="I5:I18" si="1">H5*E5</f>
        <v>8047.5</v>
      </c>
      <c r="J5" s="58">
        <f t="shared" ref="J5:J18" si="2">FV(D5/12,Q5,0,-G5)-G5</f>
        <v>829.46280025548913</v>
      </c>
      <c r="K5" s="65">
        <f t="shared" ref="K5:K18" si="3">I5+J5</f>
        <v>8876.9628002554891</v>
      </c>
      <c r="L5" s="14">
        <f t="shared" ref="L5:L18" si="4">K5/$K$19</f>
        <v>7.5319850414809195E-2</v>
      </c>
      <c r="M5" s="8">
        <v>0.1</v>
      </c>
      <c r="N5" s="8">
        <f t="shared" ref="N5:N18" si="5">L5-M5</f>
        <v>-2.4680149585190811E-2</v>
      </c>
      <c r="O5" s="4" t="str">
        <f t="shared" ref="O5:O18" si="6">IF(N5&gt;1%,"Rebalance",IF(N5&lt;-1%,"Rebalance","OK"))</f>
        <v>Rebalance</v>
      </c>
      <c r="P5" s="8" t="str">
        <f t="shared" ref="P5:P18" si="7">IF(AND(N5&lt;-1%,S5&gt;=0)=TRUE,"Buy","Hold or Sell")</f>
        <v>Buy</v>
      </c>
      <c r="Q5" s="4">
        <v>37</v>
      </c>
      <c r="R5" s="12" t="str">
        <f t="shared" ref="R5:R18" si="8">IF(Q5&gt;=12,"Long","Short")</f>
        <v>Long</v>
      </c>
      <c r="S5" s="82">
        <f t="shared" ref="S5:S19" si="9">K5-G5</f>
        <v>866.96280025548913</v>
      </c>
      <c r="T5" s="5">
        <f t="shared" ref="T5:T19" si="10">S5/G5</f>
        <v>0.10823505621167155</v>
      </c>
      <c r="U5" s="5">
        <v>3.2000000000000001E-2</v>
      </c>
      <c r="V5" s="5">
        <f t="shared" ref="V5:V19" si="11">T5/(Q5/12)</f>
        <v>3.5103261474055639E-2</v>
      </c>
      <c r="W5" s="5">
        <f t="shared" ref="W5:W18" si="12">V5-U5</f>
        <v>3.103261474055638E-3</v>
      </c>
      <c r="X5" s="12" t="str">
        <f t="shared" ref="X5:X18" si="13">IF(OR(S5&lt;0,W5&lt;-1%)=TRUE,"Warning","OK")</f>
        <v>OK</v>
      </c>
    </row>
    <row r="6" spans="1:24" x14ac:dyDescent="0.2">
      <c r="A6" s="10" t="s">
        <v>33</v>
      </c>
      <c r="B6" s="4" t="s">
        <v>22</v>
      </c>
      <c r="C6" s="4" t="str">
        <f>VLOOKUP(B6,'Investment List'!$A$3:$F$23,2,FALSE)</f>
        <v>High Yield Corporate</v>
      </c>
      <c r="D6" s="9">
        <v>7.1999999999999995E-2</v>
      </c>
      <c r="E6" s="48">
        <v>500</v>
      </c>
      <c r="F6" s="6">
        <v>6.29</v>
      </c>
      <c r="G6" s="11">
        <f t="shared" si="0"/>
        <v>3145</v>
      </c>
      <c r="H6" s="13">
        <v>5.82</v>
      </c>
      <c r="I6" s="7">
        <f t="shared" si="1"/>
        <v>2910</v>
      </c>
      <c r="J6" s="58">
        <f t="shared" si="2"/>
        <v>1046.058514026231</v>
      </c>
      <c r="K6" s="65">
        <f t="shared" si="3"/>
        <v>3956.058514026231</v>
      </c>
      <c r="L6" s="14">
        <f t="shared" si="4"/>
        <v>3.3566631089195526E-2</v>
      </c>
      <c r="M6" s="8">
        <v>0.1</v>
      </c>
      <c r="N6" s="8">
        <f t="shared" si="5"/>
        <v>-6.643336891080448E-2</v>
      </c>
      <c r="O6" s="4" t="str">
        <f t="shared" si="6"/>
        <v>Rebalance</v>
      </c>
      <c r="P6" s="8" t="str">
        <f t="shared" si="7"/>
        <v>Buy</v>
      </c>
      <c r="Q6" s="4">
        <v>48</v>
      </c>
      <c r="R6" s="12" t="str">
        <f t="shared" si="8"/>
        <v>Long</v>
      </c>
      <c r="S6" s="82">
        <f t="shared" si="9"/>
        <v>811.05851402623102</v>
      </c>
      <c r="T6" s="5">
        <f t="shared" si="10"/>
        <v>0.25788823975396852</v>
      </c>
      <c r="U6" s="5">
        <v>7.1999999999999995E-2</v>
      </c>
      <c r="V6" s="5">
        <f t="shared" si="11"/>
        <v>6.4472059938492129E-2</v>
      </c>
      <c r="W6" s="5">
        <f t="shared" si="12"/>
        <v>-7.5279400615078651E-3</v>
      </c>
      <c r="X6" s="12" t="str">
        <f t="shared" si="13"/>
        <v>OK</v>
      </c>
    </row>
    <row r="7" spans="1:24" x14ac:dyDescent="0.2">
      <c r="A7" s="10" t="s">
        <v>33</v>
      </c>
      <c r="B7" s="4" t="s">
        <v>20</v>
      </c>
      <c r="C7" s="4" t="str">
        <f>VLOOKUP(B7,'Investment List'!$A$3:$F$23,2,FALSE)</f>
        <v>Long Term Treasury</v>
      </c>
      <c r="D7" s="9">
        <v>0.04</v>
      </c>
      <c r="E7" s="48">
        <v>500</v>
      </c>
      <c r="F7" s="6">
        <v>11</v>
      </c>
      <c r="G7" s="11">
        <f t="shared" si="0"/>
        <v>5500</v>
      </c>
      <c r="H7" s="13">
        <v>10.88</v>
      </c>
      <c r="I7" s="7">
        <f t="shared" si="1"/>
        <v>5440</v>
      </c>
      <c r="J7" s="58">
        <f t="shared" si="2"/>
        <v>186.10792094233329</v>
      </c>
      <c r="K7" s="65">
        <f t="shared" si="3"/>
        <v>5626.1079209423333</v>
      </c>
      <c r="L7" s="14">
        <f t="shared" si="4"/>
        <v>4.7736778508382781E-2</v>
      </c>
      <c r="M7" s="8">
        <v>0.1</v>
      </c>
      <c r="N7" s="8">
        <f t="shared" si="5"/>
        <v>-5.2263221491617225E-2</v>
      </c>
      <c r="O7" s="4" t="str">
        <f t="shared" si="6"/>
        <v>Rebalance</v>
      </c>
      <c r="P7" s="8" t="str">
        <f t="shared" si="7"/>
        <v>Buy</v>
      </c>
      <c r="Q7" s="4">
        <v>10</v>
      </c>
      <c r="R7" s="12" t="str">
        <f t="shared" si="8"/>
        <v>Short</v>
      </c>
      <c r="S7" s="82">
        <f t="shared" si="9"/>
        <v>126.10792094233329</v>
      </c>
      <c r="T7" s="5">
        <f t="shared" si="10"/>
        <v>2.2928712898606055E-2</v>
      </c>
      <c r="U7" s="5">
        <v>0.04</v>
      </c>
      <c r="V7" s="5">
        <f t="shared" si="11"/>
        <v>2.7514455478327263E-2</v>
      </c>
      <c r="W7" s="5">
        <f t="shared" si="12"/>
        <v>-1.2485544521672737E-2</v>
      </c>
      <c r="X7" s="12" t="str">
        <f t="shared" si="13"/>
        <v>Warning</v>
      </c>
    </row>
    <row r="8" spans="1:24" x14ac:dyDescent="0.2">
      <c r="A8" s="10" t="s">
        <v>59</v>
      </c>
      <c r="B8" s="4" t="s">
        <v>46</v>
      </c>
      <c r="C8" s="4" t="str">
        <f>VLOOKUP(B8,'Investment List'!$A$3:$F$23,2,FALSE)</f>
        <v>Developed Markets</v>
      </c>
      <c r="D8" s="9">
        <v>2.5999999999999999E-2</v>
      </c>
      <c r="E8" s="48">
        <v>500</v>
      </c>
      <c r="F8" s="6">
        <v>14.68</v>
      </c>
      <c r="G8" s="11">
        <f>E8*F8</f>
        <v>7340</v>
      </c>
      <c r="H8" s="13">
        <v>10.52</v>
      </c>
      <c r="I8" s="7">
        <f t="shared" si="1"/>
        <v>5260</v>
      </c>
      <c r="J8" s="58">
        <f t="shared" si="2"/>
        <v>698.48314199191827</v>
      </c>
      <c r="K8" s="65">
        <f t="shared" si="3"/>
        <v>5958.4831419919183</v>
      </c>
      <c r="L8" s="14">
        <f t="shared" si="4"/>
        <v>5.0556938116387826E-2</v>
      </c>
      <c r="M8" s="8">
        <v>7.0000000000000007E-2</v>
      </c>
      <c r="N8" s="8">
        <f t="shared" si="5"/>
        <v>-1.9443061883612181E-2</v>
      </c>
      <c r="O8" s="4" t="str">
        <f t="shared" si="6"/>
        <v>Rebalance</v>
      </c>
      <c r="P8" s="8" t="str">
        <f t="shared" si="7"/>
        <v>Hold or Sell</v>
      </c>
      <c r="Q8" s="4">
        <v>42</v>
      </c>
      <c r="R8" s="12" t="str">
        <f t="shared" si="8"/>
        <v>Long</v>
      </c>
      <c r="S8" s="82">
        <f t="shared" si="9"/>
        <v>-1381.5168580080817</v>
      </c>
      <c r="T8" s="5">
        <f t="shared" si="10"/>
        <v>-0.18821755558693212</v>
      </c>
      <c r="U8" s="5">
        <v>0.08</v>
      </c>
      <c r="V8" s="5">
        <f t="shared" si="11"/>
        <v>-5.3776444453409178E-2</v>
      </c>
      <c r="W8" s="5">
        <f t="shared" si="12"/>
        <v>-0.13377644445340919</v>
      </c>
      <c r="X8" s="12" t="str">
        <f t="shared" si="13"/>
        <v>Warning</v>
      </c>
    </row>
    <row r="9" spans="1:24" x14ac:dyDescent="0.2">
      <c r="A9" s="10" t="s">
        <v>34</v>
      </c>
      <c r="B9" s="4" t="s">
        <v>24</v>
      </c>
      <c r="C9" s="4" t="str">
        <f>VLOOKUP(B9,'Investment List'!$A$3:$F$23,2,FALSE)</f>
        <v>Equity Income</v>
      </c>
      <c r="D9" s="9">
        <v>2.5000000000000001E-2</v>
      </c>
      <c r="E9" s="48">
        <v>500</v>
      </c>
      <c r="F9" s="6">
        <v>23.35</v>
      </c>
      <c r="G9" s="11">
        <f t="shared" si="0"/>
        <v>11675</v>
      </c>
      <c r="H9" s="13">
        <v>21.51</v>
      </c>
      <c r="I9" s="7">
        <f t="shared" si="1"/>
        <v>10755</v>
      </c>
      <c r="J9" s="58">
        <f t="shared" si="2"/>
        <v>546.97376631645784</v>
      </c>
      <c r="K9" s="65">
        <f t="shared" si="3"/>
        <v>11301.973766316458</v>
      </c>
      <c r="L9" s="14">
        <f t="shared" si="4"/>
        <v>9.5895746397242188E-2</v>
      </c>
      <c r="M9" s="8">
        <v>0.05</v>
      </c>
      <c r="N9" s="8">
        <f t="shared" si="5"/>
        <v>4.5895746397242185E-2</v>
      </c>
      <c r="O9" s="4" t="str">
        <f t="shared" si="6"/>
        <v>Rebalance</v>
      </c>
      <c r="P9" s="8" t="str">
        <f t="shared" si="7"/>
        <v>Hold or Sell</v>
      </c>
      <c r="Q9" s="4">
        <v>22</v>
      </c>
      <c r="R9" s="12" t="str">
        <f t="shared" si="8"/>
        <v>Long</v>
      </c>
      <c r="S9" s="82">
        <f t="shared" si="9"/>
        <v>-373.02623368354216</v>
      </c>
      <c r="T9" s="5">
        <f t="shared" si="10"/>
        <v>-3.1950855133493973E-2</v>
      </c>
      <c r="U9" s="5">
        <v>0.08</v>
      </c>
      <c r="V9" s="5">
        <f t="shared" si="11"/>
        <v>-1.7427739163723987E-2</v>
      </c>
      <c r="W9" s="5">
        <f t="shared" si="12"/>
        <v>-9.7427739163723992E-2</v>
      </c>
      <c r="X9" s="12" t="str">
        <f t="shared" si="13"/>
        <v>Warning</v>
      </c>
    </row>
    <row r="10" spans="1:24" x14ac:dyDescent="0.2">
      <c r="A10" s="10" t="s">
        <v>34</v>
      </c>
      <c r="B10" s="4" t="s">
        <v>45</v>
      </c>
      <c r="C10" s="4" t="str">
        <f>VLOOKUP(B10,'Investment List'!$A$3:$F$23,2,FALSE)</f>
        <v>Small Cap Growth</v>
      </c>
      <c r="D10" s="9">
        <v>3.0000000000000001E-3</v>
      </c>
      <c r="E10" s="48">
        <v>250</v>
      </c>
      <c r="F10" s="6">
        <v>19.329999999999998</v>
      </c>
      <c r="G10" s="11">
        <f t="shared" si="0"/>
        <v>4832.5</v>
      </c>
      <c r="H10" s="13">
        <v>23.67</v>
      </c>
      <c r="I10" s="7">
        <f t="shared" si="1"/>
        <v>5917.5</v>
      </c>
      <c r="J10" s="58">
        <f t="shared" si="2"/>
        <v>40.028010244205689</v>
      </c>
      <c r="K10" s="65">
        <f t="shared" si="3"/>
        <v>5957.5280102442057</v>
      </c>
      <c r="L10" s="14">
        <f t="shared" si="4"/>
        <v>5.0548833950359098E-2</v>
      </c>
      <c r="M10" s="8">
        <v>0.05</v>
      </c>
      <c r="N10" s="8">
        <f t="shared" si="5"/>
        <v>5.4883395035909555E-4</v>
      </c>
      <c r="O10" s="4" t="str">
        <f t="shared" si="6"/>
        <v>OK</v>
      </c>
      <c r="P10" s="8" t="str">
        <f t="shared" si="7"/>
        <v>Hold or Sell</v>
      </c>
      <c r="Q10" s="4">
        <v>33</v>
      </c>
      <c r="R10" s="12" t="str">
        <f t="shared" si="8"/>
        <v>Long</v>
      </c>
      <c r="S10" s="82">
        <f t="shared" si="9"/>
        <v>1125.0280102442057</v>
      </c>
      <c r="T10" s="5">
        <f t="shared" si="10"/>
        <v>0.23280455462890962</v>
      </c>
      <c r="U10" s="5">
        <v>0.1</v>
      </c>
      <c r="V10" s="5">
        <f t="shared" si="11"/>
        <v>8.4656201683239854E-2</v>
      </c>
      <c r="W10" s="5">
        <f t="shared" si="12"/>
        <v>-1.5343798316760152E-2</v>
      </c>
      <c r="X10" s="12" t="str">
        <f t="shared" si="13"/>
        <v>Warning</v>
      </c>
    </row>
    <row r="11" spans="1:24" x14ac:dyDescent="0.2">
      <c r="A11" s="10" t="s">
        <v>34</v>
      </c>
      <c r="B11" s="4" t="s">
        <v>25</v>
      </c>
      <c r="C11" s="4" t="str">
        <f>VLOOKUP(B11,'Investment List'!$A$3:$F$23,2,FALSE)</f>
        <v>Mid Cap</v>
      </c>
      <c r="D11" s="9">
        <v>0.01</v>
      </c>
      <c r="E11" s="48">
        <v>250</v>
      </c>
      <c r="F11" s="6">
        <v>22.41</v>
      </c>
      <c r="G11" s="11">
        <f t="shared" si="0"/>
        <v>5602.5</v>
      </c>
      <c r="H11" s="13">
        <v>21.7</v>
      </c>
      <c r="I11" s="7">
        <f t="shared" si="1"/>
        <v>5425</v>
      </c>
      <c r="J11" s="58">
        <f t="shared" si="2"/>
        <v>218.83895728212974</v>
      </c>
      <c r="K11" s="65">
        <f t="shared" si="3"/>
        <v>5643.8389572821297</v>
      </c>
      <c r="L11" s="14">
        <f t="shared" si="4"/>
        <v>4.7887223996875151E-2</v>
      </c>
      <c r="M11" s="8">
        <v>0.05</v>
      </c>
      <c r="N11" s="8">
        <f t="shared" si="5"/>
        <v>-2.1127760031248513E-3</v>
      </c>
      <c r="O11" s="4" t="str">
        <f t="shared" si="6"/>
        <v>OK</v>
      </c>
      <c r="P11" s="8" t="str">
        <f t="shared" si="7"/>
        <v>Hold or Sell</v>
      </c>
      <c r="Q11" s="4">
        <v>46</v>
      </c>
      <c r="R11" s="12" t="str">
        <f t="shared" si="8"/>
        <v>Long</v>
      </c>
      <c r="S11" s="82">
        <f t="shared" si="9"/>
        <v>41.338957282129741</v>
      </c>
      <c r="T11" s="5">
        <f t="shared" si="10"/>
        <v>7.3786626117143669E-3</v>
      </c>
      <c r="U11" s="5">
        <v>0.1</v>
      </c>
      <c r="V11" s="5">
        <f t="shared" si="11"/>
        <v>1.9248685074037479E-3</v>
      </c>
      <c r="W11" s="5">
        <f t="shared" si="12"/>
        <v>-9.8075131492596251E-2</v>
      </c>
      <c r="X11" s="12" t="str">
        <f t="shared" si="13"/>
        <v>Warning</v>
      </c>
    </row>
    <row r="12" spans="1:24" x14ac:dyDescent="0.2">
      <c r="A12" s="10" t="s">
        <v>59</v>
      </c>
      <c r="B12" s="4" t="s">
        <v>47</v>
      </c>
      <c r="C12" s="4" t="str">
        <f>VLOOKUP(B12,'Investment List'!$A$3:$F$23,2,FALSE)</f>
        <v>International Value</v>
      </c>
      <c r="D12" s="9">
        <v>0.02</v>
      </c>
      <c r="E12" s="48">
        <v>250</v>
      </c>
      <c r="F12" s="6">
        <v>22.83</v>
      </c>
      <c r="G12" s="11">
        <f t="shared" si="0"/>
        <v>5707.5</v>
      </c>
      <c r="H12" s="13">
        <v>33.299999999999997</v>
      </c>
      <c r="I12" s="7">
        <f t="shared" si="1"/>
        <v>8325</v>
      </c>
      <c r="J12" s="58">
        <f t="shared" si="2"/>
        <v>282.39689829524286</v>
      </c>
      <c r="K12" s="65">
        <f t="shared" si="3"/>
        <v>8607.3968982952429</v>
      </c>
      <c r="L12" s="14">
        <f t="shared" si="4"/>
        <v>7.3032619537600318E-2</v>
      </c>
      <c r="M12" s="8">
        <v>7.0000000000000007E-2</v>
      </c>
      <c r="N12" s="8">
        <f t="shared" si="5"/>
        <v>3.0326195376003118E-3</v>
      </c>
      <c r="O12" s="4" t="str">
        <f t="shared" si="6"/>
        <v>OK</v>
      </c>
      <c r="P12" s="8" t="str">
        <f t="shared" si="7"/>
        <v>Hold or Sell</v>
      </c>
      <c r="Q12" s="4">
        <v>29</v>
      </c>
      <c r="R12" s="12" t="str">
        <f t="shared" si="8"/>
        <v>Long</v>
      </c>
      <c r="S12" s="82">
        <f t="shared" si="9"/>
        <v>2899.8968982952429</v>
      </c>
      <c r="T12" s="5">
        <f t="shared" si="10"/>
        <v>0.50808530850551781</v>
      </c>
      <c r="U12" s="5">
        <v>0.1</v>
      </c>
      <c r="V12" s="5">
        <f t="shared" si="11"/>
        <v>0.21024219662297289</v>
      </c>
      <c r="W12" s="5">
        <f t="shared" si="12"/>
        <v>0.11024219662297288</v>
      </c>
      <c r="X12" s="12" t="str">
        <f t="shared" si="13"/>
        <v>OK</v>
      </c>
    </row>
    <row r="13" spans="1:24" x14ac:dyDescent="0.2">
      <c r="A13" s="10" t="s">
        <v>59</v>
      </c>
      <c r="B13" s="4" t="s">
        <v>26</v>
      </c>
      <c r="C13" s="4" t="str">
        <f>VLOOKUP(B13,'Investment List'!$A$3:$F$23,2,FALSE)</f>
        <v>Emerging Markets</v>
      </c>
      <c r="D13" s="9">
        <v>1.4E-2</v>
      </c>
      <c r="E13" s="48">
        <v>250</v>
      </c>
      <c r="F13" s="6">
        <v>23.74</v>
      </c>
      <c r="G13" s="11">
        <f t="shared" si="0"/>
        <v>5935</v>
      </c>
      <c r="H13" s="13">
        <v>31.8</v>
      </c>
      <c r="I13" s="7">
        <f t="shared" si="1"/>
        <v>7950</v>
      </c>
      <c r="J13" s="58">
        <f t="shared" si="2"/>
        <v>62.609108050087343</v>
      </c>
      <c r="K13" s="65">
        <f t="shared" si="3"/>
        <v>8012.6091080500873</v>
      </c>
      <c r="L13" s="14">
        <f t="shared" si="4"/>
        <v>6.7985924130863837E-2</v>
      </c>
      <c r="M13" s="8">
        <v>0.06</v>
      </c>
      <c r="N13" s="8">
        <f t="shared" si="5"/>
        <v>7.985924130863839E-3</v>
      </c>
      <c r="O13" s="4" t="str">
        <f t="shared" si="6"/>
        <v>OK</v>
      </c>
      <c r="P13" s="8" t="str">
        <f t="shared" si="7"/>
        <v>Hold or Sell</v>
      </c>
      <c r="Q13" s="4">
        <v>9</v>
      </c>
      <c r="R13" s="12" t="str">
        <f t="shared" si="8"/>
        <v>Short</v>
      </c>
      <c r="S13" s="82">
        <f t="shared" si="9"/>
        <v>2077.6091080500873</v>
      </c>
      <c r="T13" s="5">
        <f t="shared" si="10"/>
        <v>0.35006050683236517</v>
      </c>
      <c r="U13" s="5">
        <v>0.12</v>
      </c>
      <c r="V13" s="5">
        <f t="shared" si="11"/>
        <v>0.46674734244315358</v>
      </c>
      <c r="W13" s="5">
        <f t="shared" si="12"/>
        <v>0.34674734244315358</v>
      </c>
      <c r="X13" s="12" t="str">
        <f t="shared" si="13"/>
        <v>OK</v>
      </c>
    </row>
    <row r="14" spans="1:24" x14ac:dyDescent="0.2">
      <c r="A14" s="10" t="s">
        <v>35</v>
      </c>
      <c r="B14" s="4" t="s">
        <v>67</v>
      </c>
      <c r="C14" s="4" t="str">
        <f>VLOOKUP(B14,'Investment List'!$A$3:$F$23,2,FALSE)</f>
        <v>The Travelers Companies, Inc.</v>
      </c>
      <c r="D14" s="9">
        <v>2.4E-2</v>
      </c>
      <c r="E14" s="48">
        <v>150</v>
      </c>
      <c r="F14" s="6">
        <v>38.14</v>
      </c>
      <c r="G14" s="11">
        <f t="shared" si="0"/>
        <v>5721</v>
      </c>
      <c r="H14" s="13">
        <v>55.54</v>
      </c>
      <c r="I14" s="7">
        <f t="shared" si="1"/>
        <v>8331</v>
      </c>
      <c r="J14" s="58">
        <f t="shared" si="2"/>
        <v>885.14189860383431</v>
      </c>
      <c r="K14" s="65">
        <f t="shared" si="3"/>
        <v>9216.1418986038334</v>
      </c>
      <c r="L14" s="14">
        <f t="shared" si="4"/>
        <v>7.8197740018074391E-2</v>
      </c>
      <c r="M14" s="8">
        <v>0.05</v>
      </c>
      <c r="N14" s="8">
        <f t="shared" si="5"/>
        <v>2.8197740018074388E-2</v>
      </c>
      <c r="O14" s="4" t="str">
        <f t="shared" si="6"/>
        <v>Rebalance</v>
      </c>
      <c r="P14" s="8" t="str">
        <f t="shared" si="7"/>
        <v>Hold or Sell</v>
      </c>
      <c r="Q14" s="4">
        <v>72</v>
      </c>
      <c r="R14" s="12" t="str">
        <f t="shared" si="8"/>
        <v>Long</v>
      </c>
      <c r="S14" s="82">
        <f t="shared" si="9"/>
        <v>3495.1418986038334</v>
      </c>
      <c r="T14" s="5">
        <f t="shared" si="10"/>
        <v>0.61093198717074526</v>
      </c>
      <c r="U14" s="5">
        <v>0.08</v>
      </c>
      <c r="V14" s="5">
        <f t="shared" si="11"/>
        <v>0.10182199786179087</v>
      </c>
      <c r="W14" s="5">
        <f t="shared" si="12"/>
        <v>2.1821997861790871E-2</v>
      </c>
      <c r="X14" s="12" t="str">
        <f t="shared" si="13"/>
        <v>OK</v>
      </c>
    </row>
    <row r="15" spans="1:24" ht="15.75" x14ac:dyDescent="0.25">
      <c r="A15" s="10" t="s">
        <v>35</v>
      </c>
      <c r="B15" s="4" t="s">
        <v>32</v>
      </c>
      <c r="C15" s="4" t="str">
        <f>VLOOKUP(B15,'Investment List'!$A$3:$F$23,2,FALSE)</f>
        <v>Johnson and Johnson</v>
      </c>
      <c r="D15" s="9">
        <v>3.5999999999999997E-2</v>
      </c>
      <c r="E15" s="48">
        <v>150</v>
      </c>
      <c r="F15" s="6">
        <v>53.3</v>
      </c>
      <c r="G15" s="11">
        <f t="shared" si="0"/>
        <v>7995</v>
      </c>
      <c r="H15" s="13">
        <v>61.94</v>
      </c>
      <c r="I15" s="7">
        <f t="shared" si="1"/>
        <v>9291</v>
      </c>
      <c r="J15" s="58">
        <f t="shared" si="2"/>
        <v>2380.275578305329</v>
      </c>
      <c r="K15" s="65">
        <f t="shared" si="3"/>
        <v>11671.275578305329</v>
      </c>
      <c r="L15" s="14">
        <f t="shared" si="4"/>
        <v>9.9029223225163471E-2</v>
      </c>
      <c r="M15" s="8">
        <v>0.05</v>
      </c>
      <c r="N15" s="8">
        <f t="shared" si="5"/>
        <v>4.9029223225163468E-2</v>
      </c>
      <c r="O15" s="4" t="str">
        <f t="shared" si="6"/>
        <v>Rebalance</v>
      </c>
      <c r="P15" s="8" t="str">
        <f t="shared" si="7"/>
        <v>Hold or Sell</v>
      </c>
      <c r="Q15" s="4">
        <v>87</v>
      </c>
      <c r="R15" s="12" t="str">
        <f t="shared" si="8"/>
        <v>Long</v>
      </c>
      <c r="S15" s="82">
        <f t="shared" si="9"/>
        <v>3676.275578305329</v>
      </c>
      <c r="T15" s="5">
        <f t="shared" si="10"/>
        <v>0.45982183593562587</v>
      </c>
      <c r="U15" s="5">
        <v>0.08</v>
      </c>
      <c r="V15" s="5">
        <f t="shared" si="11"/>
        <v>6.3423701508362185E-2</v>
      </c>
      <c r="W15" s="5">
        <f t="shared" si="12"/>
        <v>-1.6576298491637817E-2</v>
      </c>
      <c r="X15" s="12" t="str">
        <f t="shared" si="13"/>
        <v>Warning</v>
      </c>
    </row>
    <row r="16" spans="1:24" x14ac:dyDescent="0.2">
      <c r="A16" s="10" t="s">
        <v>35</v>
      </c>
      <c r="B16" s="4" t="s">
        <v>64</v>
      </c>
      <c r="C16" s="4" t="str">
        <f>VLOOKUP(B16,'Investment List'!$A$3:$F$23,2,FALSE)</f>
        <v>Coca Cola</v>
      </c>
      <c r="D16" s="9">
        <v>2.8000000000000001E-2</v>
      </c>
      <c r="E16" s="48">
        <v>150</v>
      </c>
      <c r="F16" s="6">
        <v>62.46</v>
      </c>
      <c r="G16" s="11">
        <f t="shared" si="0"/>
        <v>9369</v>
      </c>
      <c r="H16" s="13">
        <v>65.5</v>
      </c>
      <c r="I16" s="7">
        <f t="shared" si="1"/>
        <v>9825</v>
      </c>
      <c r="J16" s="58">
        <f t="shared" si="2"/>
        <v>131.93351958962194</v>
      </c>
      <c r="K16" s="65">
        <f t="shared" si="3"/>
        <v>9956.9335195896219</v>
      </c>
      <c r="L16" s="14">
        <f t="shared" si="4"/>
        <v>8.4483258537943334E-2</v>
      </c>
      <c r="M16" s="8">
        <v>0.05</v>
      </c>
      <c r="N16" s="8">
        <f t="shared" si="5"/>
        <v>3.4483258537943332E-2</v>
      </c>
      <c r="O16" s="4" t="str">
        <f t="shared" si="6"/>
        <v>Rebalance</v>
      </c>
      <c r="P16" s="8" t="str">
        <f t="shared" si="7"/>
        <v>Hold or Sell</v>
      </c>
      <c r="Q16" s="4">
        <v>6</v>
      </c>
      <c r="R16" s="12" t="str">
        <f t="shared" si="8"/>
        <v>Short</v>
      </c>
      <c r="S16" s="82">
        <f t="shared" si="9"/>
        <v>587.93351958962194</v>
      </c>
      <c r="T16" s="5">
        <f t="shared" si="10"/>
        <v>6.2753070721488086E-2</v>
      </c>
      <c r="U16" s="5">
        <v>0.08</v>
      </c>
      <c r="V16" s="5">
        <f t="shared" si="11"/>
        <v>0.12550614144297617</v>
      </c>
      <c r="W16" s="5">
        <f t="shared" si="12"/>
        <v>4.550614144297617E-2</v>
      </c>
      <c r="X16" s="12" t="str">
        <f t="shared" si="13"/>
        <v>OK</v>
      </c>
    </row>
    <row r="17" spans="1:24" x14ac:dyDescent="0.2">
      <c r="A17" s="10" t="s">
        <v>35</v>
      </c>
      <c r="B17" s="4" t="s">
        <v>28</v>
      </c>
      <c r="C17" s="4" t="str">
        <f>VLOOKUP(B17,'Investment List'!$A$3:$F$23,2,FALSE)</f>
        <v>Microsoft Corporation</v>
      </c>
      <c r="D17" s="9">
        <v>2.5000000000000001E-2</v>
      </c>
      <c r="E17" s="48">
        <v>75</v>
      </c>
      <c r="F17" s="6">
        <v>28.02</v>
      </c>
      <c r="G17" s="11">
        <f t="shared" si="0"/>
        <v>2101.5</v>
      </c>
      <c r="H17" s="13">
        <v>27.85</v>
      </c>
      <c r="I17" s="7">
        <f t="shared" si="1"/>
        <v>2088.75</v>
      </c>
      <c r="J17" s="58">
        <f t="shared" si="2"/>
        <v>230.46132915180306</v>
      </c>
      <c r="K17" s="65">
        <f t="shared" si="3"/>
        <v>2319.2113291518031</v>
      </c>
      <c r="L17" s="14">
        <f t="shared" si="4"/>
        <v>1.9678200114459986E-2</v>
      </c>
      <c r="M17" s="8">
        <v>0.05</v>
      </c>
      <c r="N17" s="8">
        <f t="shared" si="5"/>
        <v>-3.0321799885540016E-2</v>
      </c>
      <c r="O17" s="4" t="str">
        <f t="shared" si="6"/>
        <v>Rebalance</v>
      </c>
      <c r="P17" s="8" t="str">
        <f t="shared" si="7"/>
        <v>Buy</v>
      </c>
      <c r="Q17" s="4">
        <v>50</v>
      </c>
      <c r="R17" s="12" t="str">
        <f t="shared" si="8"/>
        <v>Long</v>
      </c>
      <c r="S17" s="82">
        <f t="shared" si="9"/>
        <v>217.71132915180306</v>
      </c>
      <c r="T17" s="5">
        <f t="shared" si="10"/>
        <v>0.10359806288451252</v>
      </c>
      <c r="U17" s="5">
        <v>0.1</v>
      </c>
      <c r="V17" s="5">
        <f t="shared" si="11"/>
        <v>2.4863535092283003E-2</v>
      </c>
      <c r="W17" s="5">
        <f t="shared" si="12"/>
        <v>-7.5136464907716999E-2</v>
      </c>
      <c r="X17" s="12" t="str">
        <f t="shared" si="13"/>
        <v>Warning</v>
      </c>
    </row>
    <row r="18" spans="1:24" ht="15.75" thickBot="1" x14ac:dyDescent="0.25">
      <c r="A18" s="16" t="s">
        <v>35</v>
      </c>
      <c r="B18" s="15" t="s">
        <v>30</v>
      </c>
      <c r="C18" s="15" t="str">
        <f>VLOOKUP(B18,'Investment List'!$A$3:$F$23,2,FALSE)</f>
        <v>International Business Machine</v>
      </c>
      <c r="D18" s="39">
        <v>1.6E-2</v>
      </c>
      <c r="E18" s="49">
        <v>75</v>
      </c>
      <c r="F18" s="40">
        <v>87.68</v>
      </c>
      <c r="G18" s="41">
        <f t="shared" si="0"/>
        <v>6576.0000000000009</v>
      </c>
      <c r="H18" s="42">
        <v>146.66999999999999</v>
      </c>
      <c r="I18" s="43">
        <f t="shared" si="1"/>
        <v>11000.249999999998</v>
      </c>
      <c r="J18" s="62">
        <f t="shared" si="2"/>
        <v>937.27293530368115</v>
      </c>
      <c r="K18" s="66">
        <f t="shared" si="3"/>
        <v>11937.522935303679</v>
      </c>
      <c r="L18" s="44">
        <f t="shared" si="4"/>
        <v>0.10128829668910509</v>
      </c>
      <c r="M18" s="45">
        <v>0.05</v>
      </c>
      <c r="N18" s="45">
        <f t="shared" si="5"/>
        <v>5.128829668910509E-2</v>
      </c>
      <c r="O18" s="15" t="str">
        <f t="shared" si="6"/>
        <v>Rebalance</v>
      </c>
      <c r="P18" s="45" t="str">
        <f t="shared" si="7"/>
        <v>Hold or Sell</v>
      </c>
      <c r="Q18" s="15">
        <v>100</v>
      </c>
      <c r="R18" s="17" t="str">
        <f t="shared" si="8"/>
        <v>Long</v>
      </c>
      <c r="S18" s="83">
        <f t="shared" si="9"/>
        <v>5361.5229353036784</v>
      </c>
      <c r="T18" s="46">
        <f t="shared" si="10"/>
        <v>0.81531674806929411</v>
      </c>
      <c r="U18" s="46">
        <v>0.1</v>
      </c>
      <c r="V18" s="46">
        <f t="shared" si="11"/>
        <v>9.783800976831529E-2</v>
      </c>
      <c r="W18" s="46">
        <f t="shared" si="12"/>
        <v>-2.1619902316847156E-3</v>
      </c>
      <c r="X18" s="17" t="str">
        <f t="shared" si="13"/>
        <v>OK</v>
      </c>
    </row>
    <row r="19" spans="1:24" ht="24" customHeight="1" thickBot="1" x14ac:dyDescent="0.25">
      <c r="A19" s="34" t="s">
        <v>77</v>
      </c>
      <c r="B19" s="35"/>
      <c r="C19" s="35"/>
      <c r="D19" s="36"/>
      <c r="E19" s="50">
        <f>SUM(E4:E18)</f>
        <v>5100</v>
      </c>
      <c r="F19" s="35"/>
      <c r="G19" s="51">
        <f>SUM(G4:G18)</f>
        <v>96627.5</v>
      </c>
      <c r="H19" s="37"/>
      <c r="I19" s="35"/>
      <c r="J19" s="67"/>
      <c r="K19" s="68">
        <f>SUM(K4:K18)</f>
        <v>117856.88303106512</v>
      </c>
      <c r="L19" s="37"/>
      <c r="M19" s="35"/>
      <c r="N19" s="35"/>
      <c r="O19" s="35"/>
      <c r="P19" s="35"/>
      <c r="Q19" s="35">
        <f>AVERAGE(Q4:Q18)</f>
        <v>42.6</v>
      </c>
      <c r="R19" s="38"/>
      <c r="S19" s="52">
        <f t="shared" si="9"/>
        <v>21229.383031065125</v>
      </c>
      <c r="T19" s="53">
        <f t="shared" si="10"/>
        <v>0.21970332494440117</v>
      </c>
      <c r="U19" s="35"/>
      <c r="V19" s="53">
        <f t="shared" si="11"/>
        <v>6.1888260547718635E-2</v>
      </c>
      <c r="W19" s="35"/>
      <c r="X19" s="38"/>
    </row>
    <row r="21" spans="1:24" x14ac:dyDescent="0.2">
      <c r="G21" s="3"/>
    </row>
  </sheetData>
  <sortState ref="A4:X18">
    <sortCondition descending="1" ref="E4:E18"/>
    <sortCondition ref="F4:F18"/>
  </sortState>
  <mergeCells count="6">
    <mergeCell ref="A1:X1"/>
    <mergeCell ref="L2:R2"/>
    <mergeCell ref="S2:X2"/>
    <mergeCell ref="A2:D2"/>
    <mergeCell ref="E2:G2"/>
    <mergeCell ref="H2:K2"/>
  </mergeCells>
  <conditionalFormatting sqref="S4:T1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zoomScale="130" zoomScaleNormal="130" workbookViewId="0">
      <selection activeCell="E12" sqref="E12"/>
    </sheetView>
  </sheetViews>
  <sheetFormatPr defaultRowHeight="15" x14ac:dyDescent="0.2"/>
  <cols>
    <col min="1" max="1" width="11.5703125" style="1" customWidth="1"/>
    <col min="2" max="2" width="38.5703125" style="1" customWidth="1"/>
    <col min="3" max="3" width="26.140625" style="1" customWidth="1"/>
    <col min="4" max="4" width="13" style="1" customWidth="1"/>
    <col min="5" max="5" width="13.7109375" style="1" customWidth="1"/>
    <col min="6" max="6" width="14.7109375" style="1" customWidth="1"/>
    <col min="7" max="16384" width="9.140625" style="1"/>
  </cols>
  <sheetData>
    <row r="1" spans="1:6" ht="24.75" customHeight="1" x14ac:dyDescent="0.2">
      <c r="A1" s="107" t="s">
        <v>86</v>
      </c>
      <c r="B1" s="108"/>
      <c r="C1" s="108"/>
      <c r="D1" s="108"/>
      <c r="E1" s="108"/>
      <c r="F1" s="109"/>
    </row>
    <row r="2" spans="1:6" ht="30" x14ac:dyDescent="0.25">
      <c r="A2" s="55" t="s">
        <v>1</v>
      </c>
      <c r="B2" s="78" t="s">
        <v>2</v>
      </c>
      <c r="C2" s="78" t="s">
        <v>0</v>
      </c>
      <c r="D2" s="78" t="s">
        <v>3</v>
      </c>
      <c r="E2" s="79" t="s">
        <v>38</v>
      </c>
      <c r="F2" s="79" t="s">
        <v>39</v>
      </c>
    </row>
    <row r="3" spans="1:6" x14ac:dyDescent="0.2">
      <c r="A3" s="4" t="s">
        <v>42</v>
      </c>
      <c r="B3" s="4" t="s">
        <v>41</v>
      </c>
      <c r="C3" s="4" t="s">
        <v>40</v>
      </c>
      <c r="D3" s="4">
        <v>1</v>
      </c>
      <c r="E3" s="5">
        <v>6.9999999999999999E-4</v>
      </c>
      <c r="F3" s="5">
        <v>2.4500000000000001E-2</v>
      </c>
    </row>
    <row r="4" spans="1:6" x14ac:dyDescent="0.2">
      <c r="A4" s="4" t="s">
        <v>20</v>
      </c>
      <c r="B4" s="4" t="s">
        <v>48</v>
      </c>
      <c r="C4" s="4" t="s">
        <v>33</v>
      </c>
      <c r="D4" s="4">
        <v>3</v>
      </c>
      <c r="E4" s="5">
        <v>6.7999999999999996E-3</v>
      </c>
      <c r="F4" s="5">
        <v>3.5099999999999999E-2</v>
      </c>
    </row>
    <row r="5" spans="1:6" x14ac:dyDescent="0.2">
      <c r="A5" s="4" t="s">
        <v>21</v>
      </c>
      <c r="B5" s="4" t="s">
        <v>49</v>
      </c>
      <c r="C5" s="4" t="s">
        <v>33</v>
      </c>
      <c r="D5" s="4">
        <v>1</v>
      </c>
      <c r="E5" s="5">
        <v>3.7900000000000003E-2</v>
      </c>
      <c r="F5" s="5">
        <v>4.9200000000000001E-2</v>
      </c>
    </row>
    <row r="6" spans="1:6" x14ac:dyDescent="0.2">
      <c r="A6" s="4" t="s">
        <v>22</v>
      </c>
      <c r="B6" s="4" t="s">
        <v>50</v>
      </c>
      <c r="C6" s="4" t="s">
        <v>33</v>
      </c>
      <c r="D6" s="4">
        <v>3</v>
      </c>
      <c r="E6" s="5">
        <v>0.1237</v>
      </c>
      <c r="F6" s="5">
        <v>6.7400000000000002E-2</v>
      </c>
    </row>
    <row r="7" spans="1:6" x14ac:dyDescent="0.2">
      <c r="A7" s="4" t="s">
        <v>23</v>
      </c>
      <c r="B7" s="4" t="s">
        <v>51</v>
      </c>
      <c r="C7" s="4" t="s">
        <v>33</v>
      </c>
      <c r="D7" s="4">
        <v>2</v>
      </c>
      <c r="E7" s="5">
        <v>7.8799999999999995E-2</v>
      </c>
      <c r="F7" s="5">
        <v>6.6299999999999998E-2</v>
      </c>
    </row>
    <row r="8" spans="1:6" x14ac:dyDescent="0.2">
      <c r="A8" s="4" t="s">
        <v>36</v>
      </c>
      <c r="B8" s="4" t="s">
        <v>37</v>
      </c>
      <c r="C8" s="4" t="s">
        <v>33</v>
      </c>
      <c r="D8" s="4">
        <v>1</v>
      </c>
      <c r="E8" s="5">
        <v>1.7399999999999999E-2</v>
      </c>
      <c r="F8" s="5">
        <v>4.3900000000000002E-2</v>
      </c>
    </row>
    <row r="9" spans="1:6" x14ac:dyDescent="0.2">
      <c r="A9" s="4" t="s">
        <v>43</v>
      </c>
      <c r="B9" s="4" t="s">
        <v>52</v>
      </c>
      <c r="C9" s="4" t="s">
        <v>33</v>
      </c>
      <c r="D9" s="4">
        <v>1</v>
      </c>
      <c r="E9" s="5">
        <v>2.8500000000000001E-2</v>
      </c>
      <c r="F9" s="5">
        <v>4.9799999999999997E-2</v>
      </c>
    </row>
    <row r="10" spans="1:6" x14ac:dyDescent="0.2">
      <c r="A10" s="4" t="s">
        <v>24</v>
      </c>
      <c r="B10" s="4" t="s">
        <v>54</v>
      </c>
      <c r="C10" s="4" t="s">
        <v>34</v>
      </c>
      <c r="D10" s="4">
        <v>4</v>
      </c>
      <c r="E10" s="5">
        <v>0.17100000000000001</v>
      </c>
      <c r="F10" s="5">
        <v>3.5900000000000001E-2</v>
      </c>
    </row>
    <row r="11" spans="1:6" x14ac:dyDescent="0.2">
      <c r="A11" s="4" t="s">
        <v>25</v>
      </c>
      <c r="B11" s="4" t="s">
        <v>55</v>
      </c>
      <c r="C11" s="4" t="s">
        <v>34</v>
      </c>
      <c r="D11" s="4">
        <v>5</v>
      </c>
      <c r="E11" s="5">
        <v>0.24940000000000001</v>
      </c>
      <c r="F11" s="5">
        <v>4.3900000000000002E-2</v>
      </c>
    </row>
    <row r="12" spans="1:6" x14ac:dyDescent="0.2">
      <c r="A12" s="4" t="s">
        <v>45</v>
      </c>
      <c r="B12" s="4" t="s">
        <v>56</v>
      </c>
      <c r="C12" s="4" t="s">
        <v>34</v>
      </c>
      <c r="D12" s="4">
        <v>5</v>
      </c>
      <c r="E12" s="5">
        <v>0.32550000000000001</v>
      </c>
      <c r="F12" s="5">
        <v>5.9200000000000003E-2</v>
      </c>
    </row>
    <row r="13" spans="1:6" x14ac:dyDescent="0.2">
      <c r="A13" s="4" t="s">
        <v>44</v>
      </c>
      <c r="B13" s="4" t="s">
        <v>53</v>
      </c>
      <c r="C13" s="4" t="s">
        <v>34</v>
      </c>
      <c r="D13" s="4">
        <v>4</v>
      </c>
      <c r="E13" s="5">
        <v>0.15490000000000001</v>
      </c>
      <c r="F13" s="5">
        <v>2.5399999999999999E-2</v>
      </c>
    </row>
    <row r="14" spans="1:6" x14ac:dyDescent="0.2">
      <c r="A14" s="4" t="s">
        <v>26</v>
      </c>
      <c r="B14" s="4" t="s">
        <v>27</v>
      </c>
      <c r="C14" s="4" t="s">
        <v>59</v>
      </c>
      <c r="D14" s="4">
        <v>5</v>
      </c>
      <c r="E14" s="5">
        <v>0.17180000000000001</v>
      </c>
      <c r="F14" s="5">
        <v>0.10009999999999999</v>
      </c>
    </row>
    <row r="15" spans="1:6" x14ac:dyDescent="0.2">
      <c r="A15" s="4" t="s">
        <v>46</v>
      </c>
      <c r="B15" s="4" t="s">
        <v>57</v>
      </c>
      <c r="C15" s="4" t="s">
        <v>59</v>
      </c>
      <c r="D15" s="4">
        <v>5</v>
      </c>
      <c r="E15" s="5">
        <v>0.10489999999999999</v>
      </c>
      <c r="F15" s="5">
        <v>1.41E-2</v>
      </c>
    </row>
    <row r="16" spans="1:6" x14ac:dyDescent="0.2">
      <c r="A16" s="4" t="s">
        <v>47</v>
      </c>
      <c r="B16" s="4" t="s">
        <v>58</v>
      </c>
      <c r="C16" s="4" t="s">
        <v>59</v>
      </c>
      <c r="D16" s="4">
        <v>5</v>
      </c>
      <c r="E16" s="5">
        <v>7.6899999999999996E-2</v>
      </c>
      <c r="F16" s="5">
        <v>1.9300000000000001E-2</v>
      </c>
    </row>
    <row r="17" spans="1:6" x14ac:dyDescent="0.2">
      <c r="A17" s="4" t="s">
        <v>28</v>
      </c>
      <c r="B17" s="4" t="s">
        <v>66</v>
      </c>
      <c r="C17" s="4" t="s">
        <v>35</v>
      </c>
      <c r="D17" s="4">
        <v>5</v>
      </c>
      <c r="E17" s="5">
        <v>-0.10045219638242892</v>
      </c>
      <c r="F17" s="5">
        <v>3.493125232255672E-2</v>
      </c>
    </row>
    <row r="18" spans="1:6" x14ac:dyDescent="0.2">
      <c r="A18" s="4" t="s">
        <v>29</v>
      </c>
      <c r="B18" s="4" t="s">
        <v>60</v>
      </c>
      <c r="C18" s="4" t="s">
        <v>35</v>
      </c>
      <c r="D18" s="4">
        <v>5</v>
      </c>
      <c r="E18" s="5">
        <v>0.5097490437540817</v>
      </c>
      <c r="F18" s="5">
        <v>3.2419397116644828</v>
      </c>
    </row>
    <row r="19" spans="1:6" x14ac:dyDescent="0.2">
      <c r="A19" s="4" t="s">
        <v>30</v>
      </c>
      <c r="B19" s="4" t="s">
        <v>61</v>
      </c>
      <c r="C19" s="4" t="s">
        <v>35</v>
      </c>
      <c r="D19" s="4">
        <v>5</v>
      </c>
      <c r="E19" s="5">
        <v>0.12090179594956052</v>
      </c>
      <c r="F19" s="5">
        <v>0.72654502648616814</v>
      </c>
    </row>
    <row r="20" spans="1:6" x14ac:dyDescent="0.2">
      <c r="A20" s="4" t="s">
        <v>31</v>
      </c>
      <c r="B20" s="4" t="s">
        <v>62</v>
      </c>
      <c r="C20" s="4" t="s">
        <v>35</v>
      </c>
      <c r="D20" s="4">
        <v>5</v>
      </c>
      <c r="E20" s="5">
        <v>-4.0273081299379787E-2</v>
      </c>
      <c r="F20" s="5">
        <v>0.28604561267877848</v>
      </c>
    </row>
    <row r="21" spans="1:6" x14ac:dyDescent="0.2">
      <c r="A21" s="4" t="s">
        <v>32</v>
      </c>
      <c r="B21" s="4" t="s">
        <v>63</v>
      </c>
      <c r="C21" s="4" t="s">
        <v>35</v>
      </c>
      <c r="D21" s="4">
        <v>5</v>
      </c>
      <c r="E21" s="5">
        <v>-3.1127796026904457E-2</v>
      </c>
      <c r="F21" s="5">
        <v>-1.0543130990415395E-2</v>
      </c>
    </row>
    <row r="22" spans="1:6" x14ac:dyDescent="0.2">
      <c r="A22" s="4" t="s">
        <v>64</v>
      </c>
      <c r="B22" s="4" t="s">
        <v>65</v>
      </c>
      <c r="C22" s="4" t="s">
        <v>35</v>
      </c>
      <c r="D22" s="4">
        <v>5</v>
      </c>
      <c r="E22" s="5">
        <v>0.16237799467613129</v>
      </c>
      <c r="F22" s="5">
        <v>0.58174354020767949</v>
      </c>
    </row>
    <row r="23" spans="1:6" x14ac:dyDescent="0.2">
      <c r="A23" s="4" t="s">
        <v>67</v>
      </c>
      <c r="B23" s="4" t="s">
        <v>68</v>
      </c>
      <c r="C23" s="4" t="s">
        <v>35</v>
      </c>
      <c r="D23" s="4">
        <v>5</v>
      </c>
      <c r="E23" s="5">
        <v>0.1420933580094591</v>
      </c>
      <c r="F23" s="5">
        <v>0.17644566829061636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30" zoomScaleNormal="130" workbookViewId="0">
      <selection activeCell="C5" sqref="C5"/>
    </sheetView>
  </sheetViews>
  <sheetFormatPr defaultRowHeight="15" x14ac:dyDescent="0.2"/>
  <cols>
    <col min="1" max="1" width="20.42578125" style="1" customWidth="1"/>
    <col min="2" max="2" width="17.7109375" style="1" customWidth="1"/>
    <col min="3" max="3" width="14.140625" style="1" customWidth="1"/>
    <col min="4" max="4" width="14.5703125" style="1" customWidth="1"/>
    <col min="5" max="5" width="15.42578125" style="1" customWidth="1"/>
    <col min="6" max="16384" width="9.140625" style="1"/>
  </cols>
  <sheetData>
    <row r="1" spans="1:6" ht="21.75" customHeight="1" x14ac:dyDescent="0.2">
      <c r="A1" s="110" t="s">
        <v>95</v>
      </c>
      <c r="B1" s="110"/>
      <c r="C1" s="110"/>
      <c r="D1" s="110"/>
      <c r="E1" s="110"/>
    </row>
    <row r="2" spans="1:6" ht="21" customHeight="1" x14ac:dyDescent="0.25">
      <c r="A2" s="4"/>
      <c r="B2" s="54" t="s">
        <v>88</v>
      </c>
      <c r="C2" s="54" t="s">
        <v>92</v>
      </c>
      <c r="D2" s="54" t="s">
        <v>93</v>
      </c>
      <c r="E2" s="54" t="s">
        <v>94</v>
      </c>
    </row>
    <row r="3" spans="1:6" x14ac:dyDescent="0.2">
      <c r="A3" s="4" t="s">
        <v>89</v>
      </c>
      <c r="B3" s="5">
        <v>0.1565</v>
      </c>
      <c r="C3" s="5">
        <v>5.1400000000000001E-2</v>
      </c>
      <c r="D3" s="5">
        <v>0.1653</v>
      </c>
      <c r="E3" s="5">
        <v>0.1042</v>
      </c>
    </row>
    <row r="4" spans="1:6" x14ac:dyDescent="0.2">
      <c r="A4" s="4" t="s">
        <v>90</v>
      </c>
      <c r="B4" s="5">
        <v>2.35E-2</v>
      </c>
      <c r="C4" s="5">
        <v>5.3100000000000001E-2</v>
      </c>
      <c r="D4" s="5">
        <v>3.2066666666666667E-2</v>
      </c>
      <c r="E4" s="5">
        <v>-3.0099999999999998E-2</v>
      </c>
    </row>
    <row r="5" spans="1:6" x14ac:dyDescent="0.2">
      <c r="A5" s="4" t="s">
        <v>39</v>
      </c>
      <c r="B5" s="5">
        <v>2.5399999999999999E-2</v>
      </c>
      <c r="C5" s="5">
        <v>6.0299999999999999E-2</v>
      </c>
      <c r="D5" s="5">
        <v>5.3539999999999997E-2</v>
      </c>
      <c r="E5" s="5">
        <v>1.2999999999999999E-2</v>
      </c>
    </row>
    <row r="6" spans="1:6" x14ac:dyDescent="0.2">
      <c r="A6" s="4" t="s">
        <v>87</v>
      </c>
      <c r="B6" s="5">
        <v>3.2899999999999999E-2</v>
      </c>
      <c r="C6" s="5">
        <v>5.57E-2</v>
      </c>
      <c r="D6" s="5">
        <v>5.9179999999999996E-2</v>
      </c>
      <c r="E6" s="5">
        <v>5.3900000000000003E-2</v>
      </c>
    </row>
    <row r="14" spans="1:6" x14ac:dyDescent="0.2">
      <c r="C14" s="2"/>
      <c r="D14" s="2"/>
      <c r="E14" s="2"/>
      <c r="F14" s="2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"/>
  <sheetViews>
    <sheetView workbookViewId="0"/>
  </sheetViews>
  <sheetFormatPr defaultRowHeight="15" x14ac:dyDescent="0.2"/>
  <cols>
    <col min="1" max="1" width="15.140625" style="1" customWidth="1"/>
    <col min="2" max="2" width="17.85546875" style="1" customWidth="1"/>
    <col min="3" max="10" width="14.7109375" style="1" customWidth="1"/>
    <col min="11" max="16384" width="9.140625" style="1"/>
  </cols>
  <sheetData>
    <row r="1" spans="2:10" ht="15.75" x14ac:dyDescent="0.25">
      <c r="B1" s="80" t="s">
        <v>28</v>
      </c>
      <c r="D1" s="80" t="s">
        <v>30</v>
      </c>
      <c r="F1" s="84" t="s">
        <v>64</v>
      </c>
      <c r="G1" s="73"/>
      <c r="H1" s="84" t="s">
        <v>67</v>
      </c>
      <c r="J1" s="80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Portfolio Summary</vt:lpstr>
      <vt:lpstr>Investment Detail</vt:lpstr>
      <vt:lpstr>Investment List</vt:lpstr>
      <vt:lpstr>Benchmarks</vt:lpstr>
      <vt:lpstr>Price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2011-04-14T02:30:18Z</dcterms:created>
  <dcterms:modified xsi:type="dcterms:W3CDTF">2011-08-14T07:45:55Z</dcterms:modified>
</cp:coreProperties>
</file>