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7" i="3" l="1"/>
  <c r="G6" i="3"/>
  <c r="G5" i="3"/>
  <c r="G4" i="3"/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8" i="3" l="1"/>
  <c r="D7" i="3"/>
  <c r="D6" i="3"/>
  <c r="D5" i="3"/>
  <c r="D4" i="3"/>
  <c r="C7" i="3" l="1"/>
  <c r="C6" i="3"/>
  <c r="C5" i="3"/>
  <c r="C4" i="3"/>
  <c r="C8" i="3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K13" i="1"/>
  <c r="S13" i="1" s="1"/>
  <c r="K12" i="1"/>
  <c r="S12" i="1" s="1"/>
  <c r="K11" i="1"/>
  <c r="S11" i="1" s="1"/>
  <c r="K10" i="1"/>
  <c r="S10" i="1" s="1"/>
  <c r="K9" i="1"/>
  <c r="K8" i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E6" i="3"/>
  <c r="F6" i="3" s="1"/>
  <c r="S8" i="1"/>
  <c r="E5" i="3"/>
  <c r="F5" i="3" s="1"/>
  <c r="S9" i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E7" i="3"/>
  <c r="F7" i="3" s="1"/>
  <c r="S14" i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E4" i="3"/>
  <c r="S4" i="1"/>
  <c r="K19" i="1"/>
  <c r="G8" i="1"/>
  <c r="T14" i="1" l="1"/>
  <c r="V14" i="1" s="1"/>
  <c r="W14" i="1" s="1"/>
  <c r="T9" i="1"/>
  <c r="V9" i="1" s="1"/>
  <c r="W9" i="1" s="1"/>
  <c r="T8" i="1"/>
  <c r="V8" i="1" s="1"/>
  <c r="W8" i="1" s="1"/>
  <c r="S19" i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F4" i="3"/>
  <c r="E8" i="3"/>
  <c r="F8" i="3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E13" i="3" l="1"/>
  <c r="D13" i="3"/>
  <c r="C13" i="3"/>
  <c r="F13" i="3" s="1"/>
  <c r="B13" i="3"/>
  <c r="X8" i="1"/>
  <c r="E12" i="3"/>
  <c r="D12" i="3"/>
  <c r="C12" i="3"/>
  <c r="F12" i="3" s="1"/>
  <c r="B12" i="3"/>
  <c r="X9" i="1"/>
  <c r="E14" i="3"/>
  <c r="D14" i="3"/>
  <c r="C14" i="3"/>
  <c r="F14" i="3" s="1"/>
  <c r="B14" i="3"/>
  <c r="X14" i="1"/>
  <c r="E11" i="3"/>
  <c r="D11" i="3"/>
  <c r="D15" i="3" s="1"/>
  <c r="C15" i="3"/>
  <c r="C11" i="3"/>
  <c r="B11" i="3"/>
  <c r="B15" i="3" s="1"/>
  <c r="X4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F11" i="3" l="1"/>
  <c r="E15" i="3"/>
  <c r="F15" i="3" s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<sst xmlns="http://schemas.openxmlformats.org/spreadsheetml/2006/main" count="174" uniqueCount="100">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</sst>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zoomScale="130" zoomScaleNormal="130" workbookViewId="0">
      <selection activeCell="G4" sqref="G4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>
        <f>SUMIF('Investment Detail'!$A$4:$A$18,A4,'Investment Detail'!$G$4:$G$18)</f>
        <v>23772.5</v>
      </c>
      <c r="E4" s="63">
        <f>SUMIF('Investment Detail'!$A$4:$A$18,A4,'Investment Detail'!$K$4:$K$18)</f>
        <v>27273.967887930798</v>
      </c>
      <c r="F4" s="26">
        <f>((E4-D4)/D4)/(C4/12)</f>
        <v>4.9440231042267149E-2</v>
      </c>
      <c r="G4" s="26">
        <f>HLOOKUP(H4,Benchmarks!$B$2:$E$6,4,FALSE)</f>
        <v>6.0299999999999999E-2</v>
      </c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>
        <f>SUMIF('Investment Detail'!$A$4:$A$18,A5,'Investment Detail'!$G$4:$G$18)</f>
        <v>22110</v>
      </c>
      <c r="E5" s="58">
        <f>SUMIF('Investment Detail'!$A$4:$A$18,A5,'Investment Detail'!$K$4:$K$18)</f>
        <v>22903.340733842793</v>
      </c>
      <c r="F5" s="8">
        <f t="shared" ref="F5:F8" si="0">((E5-D5)/D5)/(C5/12)</f>
        <v>1.2789457939080727E-2</v>
      </c>
      <c r="G5" s="8">
        <f>HLOOKUP(H5,Benchmarks!$B$2:$E$6,4,FALSE)</f>
        <v>2.5399999999999999E-2</v>
      </c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>
        <f>SUMIF('Investment Detail'!$A$4:$A$18,A6,'Investment Detail'!$G$4:$G$18)</f>
        <v>18982.5</v>
      </c>
      <c r="E6" s="58">
        <f>SUMIF('Investment Detail'!$A$4:$A$18,A6,'Investment Detail'!$K$4:$K$18)</f>
        <v>22578.489148337248</v>
      </c>
      <c r="F6" s="8">
        <f t="shared" si="0"/>
        <v>8.5246680719176168E-2</v>
      </c>
      <c r="G6" s="8">
        <f>HLOOKUP(H6,Benchmarks!$B$2:$E$6,4,FALSE)</f>
        <v>1.2999999999999999E-2</v>
      </c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>
        <f>SUMIF('Investment Detail'!$A$4:$A$18,A7,'Investment Detail'!$G$4:$G$18)</f>
        <v>31762.5</v>
      </c>
      <c r="E7" s="62">
        <f>SUMIF('Investment Detail'!$A$4:$A$18,A7,'Investment Detail'!$K$4:$K$18)</f>
        <v>45101.085260954264</v>
      </c>
      <c r="F7" s="45">
        <f t="shared" si="0"/>
        <v>7.9990016744539344E-2</v>
      </c>
      <c r="G7" s="45">
        <f>HLOOKUP(H7,Benchmarks!$B$2:$E$6,4,FALSE)</f>
        <v>5.3539999999999997E-2</v>
      </c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>
        <f>SUM(D4:D7)</f>
        <v>96627.5</v>
      </c>
      <c r="E8" s="75">
        <f>SUM(E4:E7)</f>
        <v>117856.8830310651</v>
      </c>
      <c r="F8" s="76">
        <f t="shared" si="0"/>
        <v>6.1888260547718552E-2</v>
      </c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>
        <f>COUNTIFS('Investment Detail'!$A$4:$A$18,A11,'Investment Detail'!$W$4:$W$18,"&lt;-1%")</f>
        <v>1</v>
      </c>
      <c r="C11" s="69">
        <f>AVERAGEIFS('Investment Detail'!$Q$4:$Q$18,'Investment Detail'!$A$4:$A$18,A11,'Investment Detail'!$W$4:$W$18,"&lt;-1%")</f>
        <v>10</v>
      </c>
      <c r="D11" s="63">
        <f>SUMIFS('Investment Detail'!$G$4:$G$18,'Investment Detail'!$A$4:$A$18,A11,'Investment Detail'!$W$4:$W$18,"&lt;-1%")</f>
        <v>5500</v>
      </c>
      <c r="E11" s="63">
        <f>SUMIFS('Investment Detail'!$K$4:$K$18,'Investment Detail'!$A$4:$A$18,A11,'Investment Detail'!$W$4:$W$18,"&lt;-1%")</f>
        <v>5626.1079209423333</v>
      </c>
      <c r="F11" s="8">
        <f t="shared" ref="F11:F15" si="1">((E11-D11)/D11)/(C11/12)</f>
        <v>2.7514455478327263E-2</v>
      </c>
      <c r="G11" s="73"/>
      <c r="H11" s="73"/>
    </row>
    <row r="12" spans="1:8" ht="15.75" x14ac:dyDescent="0.25">
      <c r="A12" s="56" t="s">
        <v>34</v>
      </c>
      <c r="B12" s="4">
        <f>COUNTIFS('Investment Detail'!$A$4:$A$18,A12,'Investment Detail'!$W$4:$W$18,"&lt;-1%")</f>
        <v>3</v>
      </c>
      <c r="C12" s="57">
        <f>AVERAGEIFS('Investment Detail'!$Q$4:$Q$18,'Investment Detail'!$A$4:$A$18,A12,'Investment Detail'!$W$4:$W$18,"&lt;-1%")</f>
        <v>33.666666666666664</v>
      </c>
      <c r="D12" s="58">
        <f>SUMIFS('Investment Detail'!$G$4:$G$18,'Investment Detail'!$A$4:$A$18,A12,'Investment Detail'!$W$4:$W$18,"&lt;-1%")</f>
        <v>22110</v>
      </c>
      <c r="E12" s="58">
        <f>SUMIFS('Investment Detail'!$K$4:$K$18,'Investment Detail'!$A$4:$A$18,A12,'Investment Detail'!$W$4:$W$18,"&lt;-1%")</f>
        <v>22903.340733842793</v>
      </c>
      <c r="F12" s="8">
        <f t="shared" si="1"/>
        <v>1.2789457939080727E-2</v>
      </c>
      <c r="G12" s="73"/>
      <c r="H12" s="73"/>
    </row>
    <row r="13" spans="1:8" ht="15.75" x14ac:dyDescent="0.25">
      <c r="A13" s="56" t="s">
        <v>59</v>
      </c>
      <c r="B13" s="4">
        <f>COUNTIFS('Investment Detail'!$A$4:$A$18,A13,'Investment Detail'!$W$4:$W$18,"&lt;-1%")</f>
        <v>1</v>
      </c>
      <c r="C13" s="57">
        <f>AVERAGEIFS('Investment Detail'!$Q$4:$Q$18,'Investment Detail'!$A$4:$A$18,A13,'Investment Detail'!$W$4:$W$18,"&lt;-1%")</f>
        <v>42</v>
      </c>
      <c r="D13" s="58">
        <f>SUMIFS('Investment Detail'!$G$4:$G$18,'Investment Detail'!$A$4:$A$18,A13,'Investment Detail'!$W$4:$W$18,"&lt;-1%")</f>
        <v>7340</v>
      </c>
      <c r="E13" s="58">
        <f>SUMIFS('Investment Detail'!$K$4:$K$18,'Investment Detail'!$A$4:$A$18,A13,'Investment Detail'!$W$4:$W$18,"&lt;-1%")</f>
        <v>5958.4831419919183</v>
      </c>
      <c r="F13" s="8">
        <f t="shared" si="1"/>
        <v>-5.3776444453409178E-2</v>
      </c>
      <c r="G13" s="73"/>
      <c r="H13" s="73"/>
    </row>
    <row r="14" spans="1:8" ht="16.5" thickBot="1" x14ac:dyDescent="0.3">
      <c r="A14" s="60" t="s">
        <v>35</v>
      </c>
      <c r="B14" s="15">
        <f>COUNTIFS('Investment Detail'!$A$4:$A$18,A14,'Investment Detail'!$W$4:$W$18,"&lt;-1%")</f>
        <v>2</v>
      </c>
      <c r="C14" s="61">
        <f>AVERAGEIFS('Investment Detail'!$Q$4:$Q$18,'Investment Detail'!$A$4:$A$18,A14,'Investment Detail'!$W$4:$W$18,"&lt;-1%")</f>
        <v>68.5</v>
      </c>
      <c r="D14" s="62">
        <f>SUMIFS('Investment Detail'!$G$4:$G$18,'Investment Detail'!$A$4:$A$18,A14,'Investment Detail'!$W$4:$W$18,"&lt;-1%")</f>
        <v>10096.5</v>
      </c>
      <c r="E14" s="62">
        <f>SUMIFS('Investment Detail'!$K$4:$K$18,'Investment Detail'!$A$4:$A$18,A14,'Investment Detail'!$W$4:$W$18,"&lt;-1%")</f>
        <v>13990.486907457132</v>
      </c>
      <c r="F14" s="45">
        <f t="shared" si="1"/>
        <v>6.7563837999054521E-2</v>
      </c>
      <c r="G14" s="73"/>
      <c r="H14" s="73"/>
    </row>
    <row r="15" spans="1:8" ht="20.25" customHeight="1" x14ac:dyDescent="0.25">
      <c r="A15" s="59" t="s">
        <v>18</v>
      </c>
      <c r="B15" s="59">
        <f>SUM(B11:B14)</f>
        <v>7</v>
      </c>
      <c r="C15" s="74">
        <f>AVERAGEIF('Investment Detail'!W4:W18,"&lt;-1%",'Investment Detail'!Q4:Q18)</f>
        <v>41.428571428571431</v>
      </c>
      <c r="D15" s="75">
        <f>SUM(D11:D14)</f>
        <v>45046.5</v>
      </c>
      <c r="E15" s="75">
        <f>SUM(E11:E14)</f>
        <v>48478.41870423418</v>
      </c>
      <c r="F15" s="76">
        <f t="shared" si="1"/>
        <v>2.2067707901503395E-2</v>
      </c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 t="str">
        <f>VLOOKUP(B4,'Investment List'!$A$3:$F$23,2,FALSE)</f>
        <v>Intermediate Investment Grade</v>
      </c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 t="str">
        <f>VLOOKUP(B5,'Investment List'!$A$3:$F$23,2,FALSE)</f>
        <v>Short Term Investment Grade</v>
      </c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 t="str">
        <f>VLOOKUP(B6,'Investment List'!$A$3:$F$23,2,FALSE)</f>
        <v>High Yield Corporate</v>
      </c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 t="str">
        <f>VLOOKUP(B7,'Investment List'!$A$3:$F$23,2,FALSE)</f>
        <v>Long Term Treasury</v>
      </c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 t="str">
        <f>VLOOKUP(B8,'Investment List'!$A$3:$F$23,2,FALSE)</f>
        <v>Developed Markets</v>
      </c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 t="str">
        <f>VLOOKUP(B9,'Investment List'!$A$3:$F$23,2,FALSE)</f>
        <v>Equity Income</v>
      </c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 t="str">
        <f>VLOOKUP(B10,'Investment List'!$A$3:$F$23,2,FALSE)</f>
        <v>Small Cap Growth</v>
      </c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 t="str">
        <f>VLOOKUP(B11,'Investment List'!$A$3:$F$23,2,FALSE)</f>
        <v>Mid Cap</v>
      </c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 t="str">
        <f>VLOOKUP(B12,'Investment List'!$A$3:$F$23,2,FALSE)</f>
        <v>International Value</v>
      </c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 t="str">
        <f>VLOOKUP(B13,'Investment List'!$A$3:$F$23,2,FALSE)</f>
        <v>Emerging Markets</v>
      </c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 t="str">
        <f>VLOOKUP(B14,'Investment List'!$A$3:$F$23,2,FALSE)</f>
        <v>The Travelers Companies, Inc.</v>
      </c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 t="str">
        <f>VLOOKUP(B15,'Investment List'!$A$3:$F$23,2,FALSE)</f>
        <v>Johnson and Johnson</v>
      </c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 t="str">
        <f>VLOOKUP(B16,'Investment List'!$A$3:$F$23,2,FALSE)</f>
        <v>Coca Cola</v>
      </c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 t="str">
        <f>VLOOKUP(B17,'Investment List'!$A$3:$F$23,2,FALSE)</f>
        <v>Microsoft Corporation</v>
      </c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 t="str">
        <f>VLOOKUP(B18,'Investment List'!$A$3:$F$23,2,FALSE)</f>
        <v>International Business Machine</v>
      </c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2011-08-14T07:46:36Z</dcterms:modified>
</cp:coreProperties>
</file>